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W:\JVO\WEB\2018\"/>
    </mc:Choice>
  </mc:AlternateContent>
  <bookViews>
    <workbookView xWindow="0" yWindow="0" windowWidth="18870" windowHeight="7395" activeTab="1"/>
  </bookViews>
  <sheets>
    <sheet name="Rozpočet 2018 příjmy " sheetId="30" r:id="rId1"/>
    <sheet name="Rozpočet 2018 výdaje " sheetId="31" r:id="rId2"/>
  </sheets>
  <definedNames>
    <definedName name="_xlnm.Print_Titles" localSheetId="0">'Rozpočet 2018 příjmy '!$1:$8</definedName>
    <definedName name="_xlnm.Print_Titles" localSheetId="1">'Rozpočet 2018 výdaje '!$1:$7</definedName>
    <definedName name="_xlnm.Print_Area" localSheetId="1">'Rozpočet 2018 výdaje '!$A$1:$I$385</definedName>
  </definedNames>
  <calcPr calcId="152511"/>
</workbook>
</file>

<file path=xl/calcChain.xml><?xml version="1.0" encoding="utf-8"?>
<calcChain xmlns="http://schemas.openxmlformats.org/spreadsheetml/2006/main">
  <c r="G211" i="31" l="1"/>
  <c r="F18" i="31"/>
  <c r="G80" i="31" l="1"/>
  <c r="I380" i="31" l="1"/>
  <c r="H360" i="31"/>
  <c r="H359" i="31"/>
  <c r="H358" i="31"/>
  <c r="G380" i="31" l="1"/>
  <c r="F380" i="31"/>
  <c r="E380" i="31"/>
  <c r="D380" i="31"/>
  <c r="H221" i="31"/>
  <c r="G225" i="31"/>
  <c r="G83" i="31"/>
  <c r="F83" i="31"/>
  <c r="G196" i="31"/>
  <c r="H317" i="31"/>
  <c r="H316" i="31"/>
  <c r="H315" i="31"/>
  <c r="G306" i="31" l="1"/>
  <c r="G330" i="31"/>
  <c r="G324" i="31"/>
  <c r="G325" i="31"/>
  <c r="G327" i="31"/>
  <c r="G319" i="31"/>
  <c r="G307" i="31"/>
  <c r="G17" i="31"/>
  <c r="G271" i="31"/>
  <c r="G253" i="31"/>
  <c r="G252" i="31"/>
  <c r="G256" i="31"/>
  <c r="G255" i="31"/>
  <c r="G254" i="31"/>
  <c r="G231" i="31"/>
  <c r="G230" i="31"/>
  <c r="G221" i="31"/>
  <c r="G192" i="31"/>
  <c r="G189" i="31"/>
  <c r="G188" i="31"/>
  <c r="G124" i="31"/>
  <c r="G110" i="31"/>
  <c r="G109" i="31"/>
  <c r="G107" i="31"/>
  <c r="G106" i="31"/>
  <c r="G105" i="31"/>
  <c r="G97" i="31"/>
  <c r="G93" i="31"/>
  <c r="G92" i="31"/>
  <c r="F93" i="31"/>
  <c r="F92" i="31"/>
  <c r="G55" i="31"/>
  <c r="G38" i="31"/>
  <c r="G39" i="31"/>
  <c r="G37" i="31"/>
  <c r="G24" i="31"/>
  <c r="G18" i="31"/>
  <c r="G13" i="31"/>
  <c r="G12" i="31"/>
  <c r="G11" i="31" l="1"/>
  <c r="F327" i="31"/>
  <c r="F271" i="31"/>
  <c r="F252" i="31"/>
  <c r="F254" i="31"/>
  <c r="F37" i="31"/>
  <c r="F121" i="31"/>
  <c r="F321" i="31"/>
  <c r="F255" i="31"/>
  <c r="F256" i="31"/>
  <c r="F319" i="31"/>
  <c r="F230" i="31"/>
  <c r="F231" i="31"/>
  <c r="F124" i="31"/>
  <c r="G310" i="31"/>
  <c r="F310" i="31"/>
  <c r="F315" i="31"/>
  <c r="F186" i="31"/>
  <c r="F55" i="31"/>
  <c r="G40" i="30"/>
  <c r="G38" i="30" l="1"/>
  <c r="G11" i="30"/>
  <c r="H135" i="31"/>
  <c r="G135" i="31"/>
  <c r="F135" i="31"/>
  <c r="E135" i="31"/>
  <c r="D135" i="31"/>
  <c r="G163" i="31"/>
  <c r="G153" i="31"/>
  <c r="H163" i="31"/>
  <c r="F163" i="31"/>
  <c r="E163" i="31"/>
  <c r="D163" i="31"/>
  <c r="H153" i="31"/>
  <c r="F153" i="31"/>
  <c r="E153" i="31"/>
  <c r="D153" i="31"/>
  <c r="H121" i="31"/>
  <c r="G360" i="31" l="1"/>
  <c r="F360" i="31"/>
  <c r="E360" i="31"/>
  <c r="D360" i="31"/>
  <c r="G359" i="31"/>
  <c r="F359" i="31"/>
  <c r="E359" i="31"/>
  <c r="D359" i="31"/>
  <c r="G358" i="31"/>
  <c r="F358" i="31"/>
  <c r="E358" i="31"/>
  <c r="D358" i="31"/>
  <c r="G371" i="31"/>
  <c r="G356" i="31"/>
  <c r="G353" i="31"/>
  <c r="G350" i="31"/>
  <c r="G347" i="31"/>
  <c r="G308" i="31"/>
  <c r="G288" i="31"/>
  <c r="G265" i="31"/>
  <c r="G262" i="31"/>
  <c r="G257" i="31"/>
  <c r="G246" i="31"/>
  <c r="G240" i="31"/>
  <c r="G237" i="31"/>
  <c r="G227" i="31"/>
  <c r="G215" i="31"/>
  <c r="G212" i="31"/>
  <c r="G209" i="31"/>
  <c r="G201" i="31"/>
  <c r="G198" i="31"/>
  <c r="G184" i="31"/>
  <c r="G181" i="31"/>
  <c r="G175" i="31"/>
  <c r="G170" i="31"/>
  <c r="G167" i="31"/>
  <c r="G144" i="31"/>
  <c r="G139" i="31"/>
  <c r="G131" i="31"/>
  <c r="G113" i="31"/>
  <c r="G94" i="31"/>
  <c r="G57" i="31"/>
  <c r="G47" i="31"/>
  <c r="G33" i="31"/>
  <c r="G30" i="31"/>
  <c r="G76" i="30"/>
  <c r="G75" i="30"/>
  <c r="G73" i="30"/>
  <c r="G71" i="30"/>
  <c r="G74" i="30"/>
  <c r="G66" i="30"/>
  <c r="G31" i="30"/>
  <c r="G17" i="30"/>
  <c r="G77" i="30" l="1"/>
  <c r="G68" i="30"/>
  <c r="G81" i="30"/>
  <c r="G363" i="31"/>
  <c r="G367" i="31" s="1"/>
  <c r="H371" i="31"/>
  <c r="I371" i="31" s="1"/>
  <c r="F371" i="31"/>
  <c r="E371" i="31"/>
  <c r="D371" i="31"/>
  <c r="F363" i="31"/>
  <c r="F367" i="31" s="1"/>
  <c r="E363" i="31"/>
  <c r="E367" i="31" s="1"/>
  <c r="D363" i="31"/>
  <c r="D367" i="31" s="1"/>
  <c r="H356" i="31"/>
  <c r="I356" i="31" s="1"/>
  <c r="F356" i="31"/>
  <c r="D356" i="31"/>
  <c r="E355" i="31"/>
  <c r="E356" i="31" s="1"/>
  <c r="H353" i="31"/>
  <c r="I353" i="31" s="1"/>
  <c r="F353" i="31"/>
  <c r="E353" i="31"/>
  <c r="D353" i="31"/>
  <c r="H350" i="31"/>
  <c r="I350" i="31" s="1"/>
  <c r="F350" i="31"/>
  <c r="E350" i="31"/>
  <c r="D350" i="31"/>
  <c r="H347" i="31"/>
  <c r="I347" i="31" s="1"/>
  <c r="F347" i="31"/>
  <c r="E347" i="31"/>
  <c r="D347" i="31"/>
  <c r="I312" i="31"/>
  <c r="I310" i="31"/>
  <c r="H308" i="31"/>
  <c r="I308" i="31" s="1"/>
  <c r="F308" i="31"/>
  <c r="E308" i="31"/>
  <c r="D308" i="31"/>
  <c r="H288" i="31"/>
  <c r="I288" i="31" s="1"/>
  <c r="F288" i="31"/>
  <c r="E288" i="31"/>
  <c r="D288" i="31"/>
  <c r="I265" i="31"/>
  <c r="H265" i="31"/>
  <c r="F265" i="31"/>
  <c r="E265" i="31"/>
  <c r="D265" i="31"/>
  <c r="H262" i="31"/>
  <c r="I262" i="31" s="1"/>
  <c r="F262" i="31"/>
  <c r="E262" i="31"/>
  <c r="D262" i="31"/>
  <c r="H257" i="31"/>
  <c r="I257" i="31" s="1"/>
  <c r="F257" i="31"/>
  <c r="E257" i="31"/>
  <c r="D257" i="31"/>
  <c r="H246" i="31"/>
  <c r="I246" i="31" s="1"/>
  <c r="F246" i="31"/>
  <c r="E246" i="31"/>
  <c r="D246" i="31"/>
  <c r="H240" i="31"/>
  <c r="I240" i="31" s="1"/>
  <c r="F240" i="31"/>
  <c r="E240" i="31"/>
  <c r="D240" i="31"/>
  <c r="H237" i="31"/>
  <c r="I237" i="31" s="1"/>
  <c r="F237" i="31"/>
  <c r="E237" i="31"/>
  <c r="D237" i="31"/>
  <c r="H227" i="31"/>
  <c r="I227" i="31" s="1"/>
  <c r="F227" i="31"/>
  <c r="E227" i="31"/>
  <c r="D227" i="31"/>
  <c r="H215" i="31"/>
  <c r="I215" i="31" s="1"/>
  <c r="F215" i="31"/>
  <c r="E215" i="31"/>
  <c r="D215" i="31"/>
  <c r="I212" i="31"/>
  <c r="H212" i="31"/>
  <c r="F212" i="31"/>
  <c r="E212" i="31"/>
  <c r="D212" i="31"/>
  <c r="H209" i="31"/>
  <c r="I209" i="31" s="1"/>
  <c r="F209" i="31"/>
  <c r="E209" i="31"/>
  <c r="D209" i="31"/>
  <c r="H201" i="31"/>
  <c r="I201" i="31" s="1"/>
  <c r="F201" i="31"/>
  <c r="E201" i="31"/>
  <c r="D201" i="31"/>
  <c r="H198" i="31"/>
  <c r="I198" i="31" s="1"/>
  <c r="F198" i="31"/>
  <c r="E198" i="31"/>
  <c r="D198" i="31"/>
  <c r="H184" i="31"/>
  <c r="I184" i="31" s="1"/>
  <c r="F184" i="31"/>
  <c r="E184" i="31"/>
  <c r="D184" i="31"/>
  <c r="H181" i="31"/>
  <c r="I181" i="31" s="1"/>
  <c r="F181" i="31"/>
  <c r="E181" i="31"/>
  <c r="D181" i="31"/>
  <c r="H175" i="31"/>
  <c r="I175" i="31" s="1"/>
  <c r="F175" i="31"/>
  <c r="E175" i="31"/>
  <c r="D175" i="31"/>
  <c r="H170" i="31"/>
  <c r="I170" i="31" s="1"/>
  <c r="F170" i="31"/>
  <c r="E170" i="31"/>
  <c r="D170" i="31"/>
  <c r="H167" i="31"/>
  <c r="I167" i="31" s="1"/>
  <c r="F167" i="31"/>
  <c r="E167" i="31"/>
  <c r="D167" i="31"/>
  <c r="I163" i="31"/>
  <c r="I153" i="31"/>
  <c r="H144" i="31"/>
  <c r="I144" i="31" s="1"/>
  <c r="F144" i="31"/>
  <c r="E144" i="31"/>
  <c r="D144" i="31"/>
  <c r="H139" i="31"/>
  <c r="I139" i="31" s="1"/>
  <c r="F139" i="31"/>
  <c r="E139" i="31"/>
  <c r="D139" i="31"/>
  <c r="I135" i="31"/>
  <c r="F131" i="31"/>
  <c r="E131" i="31"/>
  <c r="D131" i="31"/>
  <c r="H115" i="31"/>
  <c r="H131" i="31" s="1"/>
  <c r="I131" i="31" s="1"/>
  <c r="H113" i="31"/>
  <c r="I113" i="31" s="1"/>
  <c r="F113" i="31"/>
  <c r="E113" i="31"/>
  <c r="D113" i="31"/>
  <c r="H94" i="31"/>
  <c r="I94" i="31" s="1"/>
  <c r="F94" i="31"/>
  <c r="E94" i="31"/>
  <c r="D94" i="31"/>
  <c r="H57" i="31"/>
  <c r="I57" i="31" s="1"/>
  <c r="F57" i="31"/>
  <c r="E57" i="31"/>
  <c r="D57" i="31"/>
  <c r="H47" i="31"/>
  <c r="I47" i="31" s="1"/>
  <c r="F47" i="31"/>
  <c r="E47" i="31"/>
  <c r="D47" i="31"/>
  <c r="H39" i="31"/>
  <c r="I39" i="31" s="1"/>
  <c r="F39" i="31"/>
  <c r="E39" i="31"/>
  <c r="D39" i="31"/>
  <c r="H33" i="31"/>
  <c r="I33" i="31" s="1"/>
  <c r="F33" i="31"/>
  <c r="E33" i="31"/>
  <c r="D33" i="31"/>
  <c r="H30" i="31"/>
  <c r="D30" i="31"/>
  <c r="F24" i="31"/>
  <c r="F30" i="31" s="1"/>
  <c r="E23" i="31"/>
  <c r="E30" i="31" s="1"/>
  <c r="D23" i="31"/>
  <c r="H76" i="30"/>
  <c r="H81" i="30" s="1"/>
  <c r="I81" i="30" s="1"/>
  <c r="F76" i="30"/>
  <c r="F81" i="30" s="1"/>
  <c r="E76" i="30"/>
  <c r="E81" i="30" s="1"/>
  <c r="D76" i="30"/>
  <c r="D81" i="30" s="1"/>
  <c r="H75" i="30"/>
  <c r="F75" i="30"/>
  <c r="E75" i="30"/>
  <c r="D75" i="30"/>
  <c r="H74" i="30"/>
  <c r="F74" i="30"/>
  <c r="E74" i="30"/>
  <c r="D74" i="30"/>
  <c r="H73" i="30"/>
  <c r="F73" i="30"/>
  <c r="E73" i="30"/>
  <c r="D73" i="30"/>
  <c r="H71" i="30"/>
  <c r="H77" i="30" s="1"/>
  <c r="I77" i="30" s="1"/>
  <c r="F71" i="30"/>
  <c r="F77" i="30" s="1"/>
  <c r="E71" i="30"/>
  <c r="E77" i="30" s="1"/>
  <c r="D71" i="30"/>
  <c r="D77" i="30" s="1"/>
  <c r="H66" i="30"/>
  <c r="I66" i="30" s="1"/>
  <c r="F66" i="30"/>
  <c r="E66" i="30"/>
  <c r="D66" i="30"/>
  <c r="H31" i="30"/>
  <c r="F31" i="30"/>
  <c r="E31" i="30"/>
  <c r="D31" i="30"/>
  <c r="H17" i="30"/>
  <c r="I17" i="30" s="1"/>
  <c r="F17" i="30"/>
  <c r="E17" i="30"/>
  <c r="E68" i="30" s="1"/>
  <c r="E79" i="30" s="1"/>
  <c r="E83" i="30" s="1"/>
  <c r="E377" i="31" s="1"/>
  <c r="D17" i="30"/>
  <c r="D68" i="30" s="1"/>
  <c r="D79" i="30" l="1"/>
  <c r="D83" i="30" s="1"/>
  <c r="D377" i="31" s="1"/>
  <c r="H68" i="30"/>
  <c r="H79" i="30" s="1"/>
  <c r="G79" i="30"/>
  <c r="G83" i="30" s="1"/>
  <c r="G377" i="31" s="1"/>
  <c r="F68" i="30"/>
  <c r="F79" i="30" s="1"/>
  <c r="F83" i="30" s="1"/>
  <c r="F377" i="31" s="1"/>
  <c r="E365" i="31"/>
  <c r="E369" i="31" s="1"/>
  <c r="E373" i="31" s="1"/>
  <c r="E381" i="31" s="1"/>
  <c r="E379" i="31" s="1"/>
  <c r="H363" i="31"/>
  <c r="I363" i="31" s="1"/>
  <c r="G365" i="31"/>
  <c r="G369" i="31" s="1"/>
  <c r="G373" i="31" s="1"/>
  <c r="G381" i="31" s="1"/>
  <c r="D365" i="31"/>
  <c r="D369" i="31" s="1"/>
  <c r="D373" i="31" s="1"/>
  <c r="D381" i="31" s="1"/>
  <c r="D383" i="31" s="1"/>
  <c r="D385" i="31" s="1"/>
  <c r="F365" i="31"/>
  <c r="F369" i="31" s="1"/>
  <c r="F373" i="31" s="1"/>
  <c r="F381" i="31" s="1"/>
  <c r="F379" i="31" s="1"/>
  <c r="I30" i="31"/>
  <c r="I31" i="30"/>
  <c r="I68" i="30" s="1"/>
  <c r="I79" i="30" l="1"/>
  <c r="I83" i="30" s="1"/>
  <c r="I377" i="31" s="1"/>
  <c r="H83" i="30"/>
  <c r="G383" i="31"/>
  <c r="G385" i="31" s="1"/>
  <c r="G379" i="31"/>
  <c r="E383" i="31"/>
  <c r="E385" i="31" s="1"/>
  <c r="H367" i="31"/>
  <c r="H365" i="31"/>
  <c r="D379" i="31"/>
  <c r="F383" i="31"/>
  <c r="F385" i="31" s="1"/>
  <c r="I365" i="31"/>
  <c r="H369" i="31" l="1"/>
  <c r="H373" i="31" s="1"/>
  <c r="I373" i="31" s="1"/>
  <c r="I381" i="31" s="1"/>
  <c r="I383" i="31" s="1"/>
  <c r="I385" i="31" s="1"/>
  <c r="I369" i="31"/>
  <c r="I379" i="31" l="1"/>
</calcChain>
</file>

<file path=xl/sharedStrings.xml><?xml version="1.0" encoding="utf-8"?>
<sst xmlns="http://schemas.openxmlformats.org/spreadsheetml/2006/main" count="443" uniqueCount="361">
  <si>
    <t>RS</t>
  </si>
  <si>
    <t>Paragraf</t>
  </si>
  <si>
    <t>Položka</t>
  </si>
  <si>
    <t>Název</t>
  </si>
  <si>
    <t>Správní poplatky</t>
  </si>
  <si>
    <t>Poplatek ze psů</t>
  </si>
  <si>
    <t>Poplatek za užívání veřejného prostranství</t>
  </si>
  <si>
    <t>tis. Kč</t>
  </si>
  <si>
    <t>Nákup materiálu</t>
  </si>
  <si>
    <t>Nákup služeb</t>
  </si>
  <si>
    <t>Opravy a udržování</t>
  </si>
  <si>
    <t>Silnice</t>
  </si>
  <si>
    <t>Pitná voda</t>
  </si>
  <si>
    <t>Odvádění a čištění odpadních vod</t>
  </si>
  <si>
    <t>Knihy, učební pomůcky a tisk</t>
  </si>
  <si>
    <t>Voda</t>
  </si>
  <si>
    <t>Plyn</t>
  </si>
  <si>
    <t>Elektrická energie</t>
  </si>
  <si>
    <t>Služby pošt</t>
  </si>
  <si>
    <t>Služby telekomunikací a radiokomunikací</t>
  </si>
  <si>
    <t>Služby peněžních ústavů</t>
  </si>
  <si>
    <t>Pohoštění</t>
  </si>
  <si>
    <t>Platy zaměstnanců</t>
  </si>
  <si>
    <t>Činnosti knihovnické</t>
  </si>
  <si>
    <t>Záležitosti kultury</t>
  </si>
  <si>
    <t>Ostatní osobní výdaje</t>
  </si>
  <si>
    <t>Pohřebnictví</t>
  </si>
  <si>
    <t>Územní plánování</t>
  </si>
  <si>
    <t>Sběr a svoz komunálních odpadů</t>
  </si>
  <si>
    <t>Pohonné hmoty a maziva</t>
  </si>
  <si>
    <t>Cestovné</t>
  </si>
  <si>
    <t>Konzultační, poradenské a právní služby</t>
  </si>
  <si>
    <t>Věcné dary</t>
  </si>
  <si>
    <t>Činnost místní správy</t>
  </si>
  <si>
    <t>pojištění funkčně nespecifikované</t>
  </si>
  <si>
    <t>Péče o vzhled obcí a veřejnou zeleň</t>
  </si>
  <si>
    <t>Ostatní neinvestiční transfery obyvatelstvu</t>
  </si>
  <si>
    <t>Zastupitelstva obcí</t>
  </si>
  <si>
    <t>Převody vlastním fondům /konsolidace/</t>
  </si>
  <si>
    <t>Rozpočtové příjmy</t>
  </si>
  <si>
    <t xml:space="preserve">Název </t>
  </si>
  <si>
    <t>Poplatek z ubytovací kapacity</t>
  </si>
  <si>
    <t>Příjmy z úroků</t>
  </si>
  <si>
    <t>Převody z rozpočtových účtů:</t>
  </si>
  <si>
    <t>Rozpočtové výdaje</t>
  </si>
  <si>
    <t xml:space="preserve">RS </t>
  </si>
  <si>
    <t>Povinné pojistné na zdravotní pojištění</t>
  </si>
  <si>
    <t>Revitalizace říčních systémů a vodních ploch</t>
  </si>
  <si>
    <t>Povinné pojistné na sociální zabezpečení a pol. zaměstn.</t>
  </si>
  <si>
    <t>Výdaje kapitálové</t>
  </si>
  <si>
    <t>Drobný hmotný dlouhodobý  majetek</t>
  </si>
  <si>
    <t>Drobný hmotný dlouhodobý majetek</t>
  </si>
  <si>
    <t>Nákup ostatních služeb</t>
  </si>
  <si>
    <t>Nespecifikované rezervy</t>
  </si>
  <si>
    <t>Ostatní činnosti</t>
  </si>
  <si>
    <t>Poplatek za lázeňský nebo rekreační pobyt</t>
  </si>
  <si>
    <t>Povinné pojistné na soc. zabezpečení</t>
  </si>
  <si>
    <t>Veřejné osvětlení</t>
  </si>
  <si>
    <t>Dary obyvatelstvu</t>
  </si>
  <si>
    <t>Převody vlastním fondům-převody sociálnímu fondu obcí</t>
  </si>
  <si>
    <t>Povinné pojistné na úrazové pojištění</t>
  </si>
  <si>
    <t>Nájemné</t>
  </si>
  <si>
    <t>Platby daní a poplatků státnímu rozpočtu</t>
  </si>
  <si>
    <t>Ochranné pomůcky - vlastní zdroje</t>
  </si>
  <si>
    <t>Drobný hmotný dlouhodobý majetek - vlastní zdroje</t>
  </si>
  <si>
    <t>Nákup materiálu - vlastní zdroje</t>
  </si>
  <si>
    <t>Pohonné hmoty a maziva  - vlastní zdroje</t>
  </si>
  <si>
    <t xml:space="preserve">Komunální služby a územní rozvoj </t>
  </si>
  <si>
    <t>Prádlo, oděv, obuv</t>
  </si>
  <si>
    <t>Přijaté nekapitálové příspěvky a náhrady vč.správních řízení</t>
  </si>
  <si>
    <t>Pohonné hmoty</t>
  </si>
  <si>
    <t>Služby peněžních ústavů (pojištění)</t>
  </si>
  <si>
    <t>Obecné příjmy a výdaje z finančních operací</t>
  </si>
  <si>
    <t xml:space="preserve">Sociální rehabilitace </t>
  </si>
  <si>
    <t>Převody z vlastních rezervních fondů-z fondu Domu s chrán. byty</t>
  </si>
  <si>
    <t>Soc. pomoc osobám v hmotné nouzi</t>
  </si>
  <si>
    <t>Ostatní služby a činnosti v oblasti soc. péče  /Klub seniorů/</t>
  </si>
  <si>
    <t>Bezpečnost a veřejný pořádek-Městská policie</t>
  </si>
  <si>
    <t>Náhrady mezd v době nemoci</t>
  </si>
  <si>
    <t>Příjmy z poskytování služeb a výrobků - knihovna</t>
  </si>
  <si>
    <t>Příjmy z poskytování služeb a výrobků - pohřebnictví</t>
  </si>
  <si>
    <t>Služby školení a vzdělávání - vlastní zdroje MČ</t>
  </si>
  <si>
    <t>Ostatní tělovýchovná činnost</t>
  </si>
  <si>
    <t>Ostatní neinv. transfery neziskovým apod. organizacím-Junák</t>
  </si>
  <si>
    <t>Využití volného času dětí a mládeže</t>
  </si>
  <si>
    <t>``</t>
  </si>
  <si>
    <t>Pohonné hmoty - fukar</t>
  </si>
  <si>
    <t>Sportovní zařízení v majetku obce - S.K. Slovan Kunratice</t>
  </si>
  <si>
    <t>Knihy, učební pomůcky, tisk - vlastní zdroje</t>
  </si>
  <si>
    <t xml:space="preserve">                                          - dotace HMP</t>
  </si>
  <si>
    <t>Nákup materiálu- koše výměna, barvy, náhr. díly k mobiliáři..</t>
  </si>
  <si>
    <t>Příjmy z prodeje zboží-kultura-kniha Kunratice v běhu času</t>
  </si>
  <si>
    <t>Služby školení a vzdělávání - vlastní zdroje</t>
  </si>
  <si>
    <t>Základní školy celkem vč. investic</t>
  </si>
  <si>
    <t>Nájemné (výpůjčka nářadí)</t>
  </si>
  <si>
    <t>Převod do fondu Domu s chráněnými byty</t>
  </si>
  <si>
    <t>Převody vlastním fondům-převod do fondu Domu s chráněnými byty</t>
  </si>
  <si>
    <t>Neinvestiční transfery církvím a nábožen. společnostem-ř.k.farnost Kunratice</t>
  </si>
  <si>
    <t>Nákup ostatních služeb-přezkoumání hospodaření</t>
  </si>
  <si>
    <t>Ostatní činnosti související se službami pro obyvatelstvo</t>
  </si>
  <si>
    <t>Náhrady mzdy v době nemoci</t>
  </si>
  <si>
    <t>Ostatní neinvestiční transfery obyvatelstvu-dárkové poukázky jubilantům</t>
  </si>
  <si>
    <t>Nákup ostatních služeb-akce pro obyvatele a drobné služby</t>
  </si>
  <si>
    <t>Nákup ostatních služeb - příspěvek na stravování - sociální fond</t>
  </si>
  <si>
    <t>Nákup ostatních služeb-přezkoumání hospodaření a ost. služby</t>
  </si>
  <si>
    <t>Daň z nemovitých věcí</t>
  </si>
  <si>
    <t>Poštovní služby</t>
  </si>
  <si>
    <t>Neinvestiční transfery zřízeným přísp.organizacím -dotace HMP:</t>
  </si>
  <si>
    <t>Pořízení, zachování a obnova hodnot národního historického povědomí</t>
  </si>
  <si>
    <t>Neinvestiční transfery obecně prosp. společnostem-o.p.s. Žít spolu</t>
  </si>
  <si>
    <t>Nákup materiálu - dotace HMP</t>
  </si>
  <si>
    <t>Neinvestiční dotace Asistenti pedagoga 1. a 2. pololetí</t>
  </si>
  <si>
    <t>Ochranné pomůcky - dotace HMP</t>
  </si>
  <si>
    <t>Pohonné hmoty a maziva  - dotace HMP</t>
  </si>
  <si>
    <t>Opravy a udržování-běžné</t>
  </si>
  <si>
    <t xml:space="preserve">Odměny členů zastupitelstev vč. členů výborů a komisí </t>
  </si>
  <si>
    <t xml:space="preserve">Nákup ostatních služeb -údržba zeleně v obci,výsadba stromů           </t>
  </si>
  <si>
    <t>Městská část Praha KUNRATICE</t>
  </si>
  <si>
    <t>Mateřské školy</t>
  </si>
  <si>
    <t>Neinvestiční transfery spolkům-o.s. Pro Kunratice</t>
  </si>
  <si>
    <t>Daňové příjmy:</t>
  </si>
  <si>
    <t>Daňové příjmy celkem</t>
  </si>
  <si>
    <t>Nedaňové příjmy:</t>
  </si>
  <si>
    <t>Nedaňové příjmy celkem</t>
  </si>
  <si>
    <t>Konsolidace příjmů:</t>
  </si>
  <si>
    <t>Přijaté transfery:</t>
  </si>
  <si>
    <t>Zpracování dat a služby související s informačními technologiemi</t>
  </si>
  <si>
    <t>Převody z vlastních  fondů a mezi HMP a MČ- konsolidace příjmů celkem</t>
  </si>
  <si>
    <t>PŘÍJMY CELKEM vč. převodů z vlastních fondů a mezi HMP a MČ -dotační vztah</t>
  </si>
  <si>
    <t>Elektrická energie Golčova 28 a akce v Zámeckém parku</t>
  </si>
  <si>
    <t>Ing. Lenka Alinčová, starostka MČ Praha Kunratice</t>
  </si>
  <si>
    <t>Posílení rozpočtu soc. fondu-příjem soc. fondu</t>
  </si>
  <si>
    <t>Převody z vlastních fondů-ze soc. fondu</t>
  </si>
  <si>
    <t>Převody mezi statutátními městy a jejich MČ-transfer ze státního rozpočtu -souhrnný dotační vztah</t>
  </si>
  <si>
    <t>Převody mezi statutátními městy a jejich MČ-transfer z HMP -souhrnný dotační vztah</t>
  </si>
  <si>
    <t>Přijaté transfery celkem</t>
  </si>
  <si>
    <t>Převody mezi statutátními městy a jejich MČ-transfer ze SR a HMP dotační vztah</t>
  </si>
  <si>
    <t>PŘÍJMY po konsolidaci-bez převodů z vlastních fondů a mezi HMP a MČ)</t>
  </si>
  <si>
    <t>PŘÍJMY z dotačního vztahu (pol. 4137 par. 6330)</t>
  </si>
  <si>
    <t>Příjmy z poskytování služeb a výrobků - místní správa-úhrada za poskyt. informací dle 106/1999 Sb.</t>
  </si>
  <si>
    <t>Neinvestiční transfery zřízeným přísp.organizacím -dotace HMP-mzdové prostředky pracovníků školství</t>
  </si>
  <si>
    <t>Neinvestiční dotace-mzdové prostředky pracovníků školství</t>
  </si>
  <si>
    <t>Opravy a udržování - zámecká zeď</t>
  </si>
  <si>
    <t>Zachování a obnova kulturních památek-Zámecká zeď</t>
  </si>
  <si>
    <t>Činnost registrovaných církví a náboženských společností</t>
  </si>
  <si>
    <t>Ochrana půdy a podz. vod proti infiltraci (odlučovač parkoviště Šeberák)</t>
  </si>
  <si>
    <t>Nákup ostatních služeb - revize hřišť a ostatní drobné služby</t>
  </si>
  <si>
    <t>Opravy a udržování-opravy inventáře</t>
  </si>
  <si>
    <t>Služby školení a vzdělávání - dotace státní</t>
  </si>
  <si>
    <t>Platby daní a poplatků krajům, obcím a st. fondům-správní poplatky katastr. úřad</t>
  </si>
  <si>
    <t>Převody vlastním rozpočtovým účtům:posílení ze soc.fondu</t>
  </si>
  <si>
    <t xml:space="preserve">                                                    posílení z fondu DCHB</t>
  </si>
  <si>
    <t>Převody vlastním fondům a mezi HMP a MČ - konsolidace výdajů celkem (par. 6330)</t>
  </si>
  <si>
    <t>VÝDAJE po konsolidaci bez převodů vlastním fondům a mezi HMP a MČ</t>
  </si>
  <si>
    <t>VÝDAJE z převodů HM Praze (par. 6330 pol. 5347)</t>
  </si>
  <si>
    <t>VÝDAJE CELKEM vč. převodů vlastním fondům a mezi HMP a MČ</t>
  </si>
  <si>
    <t>OBJEM VÝDAJU vč. převodů mezi HMP a MČ</t>
  </si>
  <si>
    <t xml:space="preserve">Výdaje běžné </t>
  </si>
  <si>
    <t>OBJEM VÝDAJU celkem</t>
  </si>
  <si>
    <t>ostatní opravy-techniky, výměna a opravy DZ,</t>
  </si>
  <si>
    <t>Drobný hmotný dlouhodobý majetek - dotace HMP</t>
  </si>
  <si>
    <t xml:space="preserve">Ostatní neinvestiční transfery obyvatelstvu-kulturní akce-zájezdy pro seniory </t>
  </si>
  <si>
    <t>Zpracování dat a služby související s informačními technologiemi-servisní služby přenosu dat-systém svolávání a informování Fireport</t>
  </si>
  <si>
    <t>Umělecká díla a předměty (plastika Kalvárie)-vlastní zdroje</t>
  </si>
  <si>
    <t>Ostatní neinv. transfery neziskovým apod. organizacím-TJ Sokol Kunratice - vlastní zdroje</t>
  </si>
  <si>
    <t>Odměny za užití duševního vlastnictví-poplatek OSA</t>
  </si>
  <si>
    <t xml:space="preserve">OBJEM PŘÍJMU vč. dotačního vztahu po konsolidaci vlastních fondů - ZDROJE celkem                                                </t>
  </si>
  <si>
    <t>Příjmy z poskytování služeb a výrobků - záležitosti kultury</t>
  </si>
  <si>
    <t>Převody z vlastních fondů hospodářské činnosti (převod na ZBÚ pro fond DCHB)</t>
  </si>
  <si>
    <t>Nákup ostatních služeb: zimní údržba vč. úklidu po zimní údržbě</t>
  </si>
  <si>
    <t>Opravy a udržování:vysoutěžené opravy výtluků</t>
  </si>
  <si>
    <t>Nákup ostatních služeb: STK, projekty k opravám, výběrové řízení k opravám, autorský dozor k opravám a jiné dodávky prací (vyjádření k sítím, provizorní DZ k akcím,nové DZ,dopravní zrcadla,  posudky a ostatní podklady ke stavu komunikací, projednávání..):</t>
  </si>
  <si>
    <t xml:space="preserve">ostatní opravy komunikací </t>
  </si>
  <si>
    <t xml:space="preserve">Elektrická energie-napájení čerpadla ze studny k přívodu vody do rybníka Ohrada </t>
  </si>
  <si>
    <t>Nákup ostatních služeb-dokumentace k opravám povrchů na zahradě MŠ</t>
  </si>
  <si>
    <t>Neinvestiční dotace Grantový program primární prevence</t>
  </si>
  <si>
    <t>Budovy, haly, stavby - Základní škola:</t>
  </si>
  <si>
    <t>Poskytnuté zálohy vnitřním organizačním jednotkám</t>
  </si>
  <si>
    <t>Nákup ostatních služeb, objekt Golčova 24, drobné služby, revize</t>
  </si>
  <si>
    <t>Dary obyvatelstvu-výstavy-houby, jiřiny, kulturní akce</t>
  </si>
  <si>
    <t>Ostatní speciální zdravotnická činnost-Linka tísňového volání</t>
  </si>
  <si>
    <t>Budovy, haly, stavby:stavební úpravy objektu čp. 147 Velenická</t>
  </si>
  <si>
    <t>Budovy, haly, stavby-Dokončení revitalizace Zelené cesty-vlastní zdroje</t>
  </si>
  <si>
    <t>Opravy a udržování-opravy hřiště Zelené údolí (2016 u ul. Vožická)</t>
  </si>
  <si>
    <t>Nákup ostatních služeb- drobné služby</t>
  </si>
  <si>
    <t xml:space="preserve">Opravy a udržování  - vlastní zdroje </t>
  </si>
  <si>
    <t>Požární ochrana dobrovolná část</t>
  </si>
  <si>
    <t>Platby daní a poplatků státnímu rozpočtu-dálniční známka</t>
  </si>
  <si>
    <t>Nákup ostatních služeb (ostraha, úklid, revize...)</t>
  </si>
  <si>
    <t>Poskytnuté zálohy vlastní pokladně</t>
  </si>
  <si>
    <t xml:space="preserve">Nákup dlouhodobého hmotného majetku jinde nezařaz. -Sv. Jan Nepomucký-rekonstrukce sochy, 2017 umístění základů a vlastní sochy, terenní úpravy vlastní zdroje </t>
  </si>
  <si>
    <t>OBJEM PŘÍJMU - ZDROJE celkem</t>
  </si>
  <si>
    <t>REKAPITULACE</t>
  </si>
  <si>
    <t>FINANCOVÁNÍ z úspor vlastních prostředků z předešlých let    (+) schodek, (-) přebytek</t>
  </si>
  <si>
    <r>
      <t xml:space="preserve">Převody mezi statutátními městy a jejich MČ-transfer z HMP- </t>
    </r>
    <r>
      <rPr>
        <b/>
        <sz val="12"/>
        <rFont val="Arial CE"/>
        <charset val="238"/>
      </rPr>
      <t>neinvestiční dotace:</t>
    </r>
  </si>
  <si>
    <t>pro knihovnu</t>
  </si>
  <si>
    <t>pro Základní školu, program primární prevence</t>
  </si>
  <si>
    <t>pro JSDH na provoz a opravy techniky</t>
  </si>
  <si>
    <t>posílení mzdových prostředků pracovníků školství ZŠ, MŠ</t>
  </si>
  <si>
    <r>
      <t xml:space="preserve">Převody mezi statutátními městy a jejich MČ-transfer z HMP- </t>
    </r>
    <r>
      <rPr>
        <b/>
        <sz val="12"/>
        <rFont val="Arial CE"/>
        <charset val="238"/>
      </rPr>
      <t>investiční dotace:</t>
    </r>
  </si>
  <si>
    <t>Rekonstrukce ZŠ Kunratice stará budova-zateplení, výměna oken a kotlů</t>
  </si>
  <si>
    <t>Vlastní zdroje:</t>
  </si>
  <si>
    <t>Dotace MŠMT:</t>
  </si>
  <si>
    <t>Převody z vlastních fondů hospodářské činnosti-nerozdělený zisk hospodářské činnosti předešlých let</t>
  </si>
  <si>
    <t>ZŠ Kunratice-rozšíření školní jídelny</t>
  </si>
  <si>
    <t>Dotace HMP:</t>
  </si>
  <si>
    <t>Neinvestiční transfery spolkům</t>
  </si>
  <si>
    <t>Ostatní neinv. transfery neziskovým apod. organizacím</t>
  </si>
  <si>
    <t>Neinvestiční transfery církvím a nábožen. společnostem</t>
  </si>
  <si>
    <t xml:space="preserve">Neinvestiční transfery spolkům </t>
  </si>
  <si>
    <t>Neinvestiční transfery obecně prosp. společnostem</t>
  </si>
  <si>
    <t>Poskytnuté náhrady-roční poplatek Svazu MČ HMP</t>
  </si>
  <si>
    <t xml:space="preserve">investiční dotace MŠMT-ZŠ Kunratice-rozšíření kapacity-Přístavba a nástavba učeben v objektu ZŠ Kunratice </t>
  </si>
  <si>
    <t>Základní škola:</t>
  </si>
  <si>
    <t>Drobný hmotný dlouhodobý majetek-spoluúčast k dotaci na kompostéry pro občany - žádost o dotaci SFŽP</t>
  </si>
  <si>
    <t>ROZDÍL PŘÍJMU A VÝDAJU (-) schodek, (+) přebytek</t>
  </si>
  <si>
    <t xml:space="preserve">Budovy, haly, stavby-vlastní zdroje-Rekonstrukce hasičské zbrojnice-dostavba hasičské zbrojnice-stavební úpravy nevyužitého podkroví a stávající části objektu HZ </t>
  </si>
  <si>
    <t xml:space="preserve">Budovy, haly, stavby-dotace HMP-Rekonstrukce hasičské zbrojnice-dostavba hasičské zbrojnice-stavební úpravy nevyužitého podkroví a stávající části objektu HZ </t>
  </si>
  <si>
    <t>PLNĚNÍ PŘÍJMU 2017</t>
  </si>
  <si>
    <t>ČERPÁNÍ VÝDAJU 2017</t>
  </si>
  <si>
    <t>Poplatek ze vstupného</t>
  </si>
  <si>
    <t>Sankční platby přijaté od jiných subjektů-stavba ZŠ-prodlení</t>
  </si>
  <si>
    <t>Přijaté neinvestiční dary (K-Stavby-p.d. chodník Demlova..)</t>
  </si>
  <si>
    <t>Přijaté pojistné náhrady</t>
  </si>
  <si>
    <t>příjem odvodu z výh. automatů aj. her na sport a kulturu, školství, zdravotnictví, sociální oblast, doplatek z roku 2016</t>
  </si>
  <si>
    <t>příjem odvodu z výh. automatů aj. her na sport a kulturu, školství, zdravotnictví, sociální oblast, období 1-4/2017</t>
  </si>
  <si>
    <t>pro Základní školu, asistenti pedagoga 1.-8/2017 a 9-12/2017</t>
  </si>
  <si>
    <t>zkoušky odborné způsobilosti</t>
  </si>
  <si>
    <t>vrácený podíl na dani z příjmu za rok 2016</t>
  </si>
  <si>
    <t>podpora aktivit v oblati zdraví a zdravého životního stylu-Divadlo v parku, Babí léto v pohybu</t>
  </si>
  <si>
    <t>neinvestiční dotace MŠMT-ZŠ Kunratice přístavba učeben-vybavení nových tříd</t>
  </si>
  <si>
    <t>příprava volby prezidenta ČR v roce 2018</t>
  </si>
  <si>
    <t>volby do Parlamentu ČR-volby do Poslanecké sněmovny</t>
  </si>
  <si>
    <t>ZŠ Operační program Praha pól růstu (OPPPR) Inkluze cizinců a menšin, podíl HMP</t>
  </si>
  <si>
    <t>ZŠ Operační program Praha pól růstu (OPPPR) Inkluze cizinců a menšin podíl EU</t>
  </si>
  <si>
    <t xml:space="preserve">EU+MŠMT Šablony MŠ Kunratice </t>
  </si>
  <si>
    <t>neinv. dotace ze SR, z MV pro JSDH</t>
  </si>
  <si>
    <t>investiční dotace z rezervy rozpočtu HMP 2017-Rekonstrukce hasičské zbrojnice, dostavba HZ-stav. úpravy podkroví a stávajícího objektu hasičské zbrojnice</t>
  </si>
  <si>
    <t>investiční dotace z rezervy rozpočtu HMP 2017-Plošné rekonstrukce komunikací Kunratice</t>
  </si>
  <si>
    <t>investiční dotace z rozpočtu HMP 2017-MČ Kunratice-vybudování fitparku</t>
  </si>
  <si>
    <t>Nájemné (umístění výstražného zařízení na sloupech veř. osvětlení)</t>
  </si>
  <si>
    <t xml:space="preserve">Nákup ostatních služeb (projekty, vyjádření k sítím..)  </t>
  </si>
  <si>
    <t>Neinvestiční příspěvky zřízeným příspěvkovým organizacím: roční příspěvek MČ</t>
  </si>
  <si>
    <t>Neinvestiční příspěvky zřízeným příspěvkovým organizacím: spolufinancování MČ v případě získání podpory projektu OPPPR Rozvoj polytechnické výuky a EVVO na MŠ Kunratice</t>
  </si>
  <si>
    <t>Oprava a udržování-oprava povrchu chodníků a výměna obrubníků na zahradě MŠ</t>
  </si>
  <si>
    <t>Neinvestiční příspěvky zřízeným příspěvkovým organizacím:roční příspěvek MČ</t>
  </si>
  <si>
    <t>Neinvestiční dotace-Operační program Praha-pól růstu Inkluze menšin a cizinců-podíl HMP</t>
  </si>
  <si>
    <t>Neinvestiční dotace-Operační program Praha-pól růstu Inkluze menšin a cizinců-podíl EU</t>
  </si>
  <si>
    <t>Dotace HMP: ponechané prostředky roku 2016</t>
  </si>
  <si>
    <t>ZŠ Kunratice-rozšíření kapacity-Přístavba a nástavba učeben v objektu ZŠ Kunratice</t>
  </si>
  <si>
    <t xml:space="preserve">vlastní zdroje a financování ( v SR do doby rozhodnutí o žádosti o ponechání dotace HMP 2016) </t>
  </si>
  <si>
    <t>vlastní zdroje (v SR do doby rozhodnutí o žádosti o uvolnění   doplatku dotace MŠMT 9 276 235,0 Kč-platby za 12/2016 a 1-3/2017)</t>
  </si>
  <si>
    <t>ponechané prostředky roku 2016-spolufinancování k dotaci MŠMT</t>
  </si>
  <si>
    <t>uvolněný doplatek dotace MŠMT 9 276,2 tis. Kč</t>
  </si>
  <si>
    <r>
      <t>Stroje, přístroje, zařízení-</t>
    </r>
    <r>
      <rPr>
        <b/>
        <sz val="12"/>
        <rFont val="Arial CE"/>
        <charset val="238"/>
      </rPr>
      <t>interaktivní tabule</t>
    </r>
    <r>
      <rPr>
        <sz val="12"/>
        <rFont val="Arial CE"/>
        <charset val="238"/>
      </rPr>
      <t xml:space="preserve"> a displeje pro nové třídy, </t>
    </r>
    <r>
      <rPr>
        <b/>
        <sz val="12"/>
        <rFont val="Arial CE"/>
        <charset val="238"/>
      </rPr>
      <t>dotace HMP</t>
    </r>
    <r>
      <rPr>
        <sz val="12"/>
        <rFont val="Arial CE"/>
        <charset val="238"/>
      </rPr>
      <t>, spolufinancování k dotaci MŠMT</t>
    </r>
  </si>
  <si>
    <r>
      <t>Stroje, přístroje, zařízení-</t>
    </r>
    <r>
      <rPr>
        <b/>
        <sz val="12"/>
        <rFont val="Arial CE"/>
        <charset val="238"/>
      </rPr>
      <t>interaktivní tabule</t>
    </r>
    <r>
      <rPr>
        <sz val="12"/>
        <rFont val="Arial CE"/>
        <charset val="238"/>
      </rPr>
      <t xml:space="preserve"> a displeje pro nové třídy, </t>
    </r>
    <r>
      <rPr>
        <b/>
        <sz val="12"/>
        <rFont val="Arial CE"/>
        <charset val="238"/>
      </rPr>
      <t>vlastní zdroje</t>
    </r>
  </si>
  <si>
    <t>Drobný hmotný dlouhodobý  majetek, dotace HMP 2017 odvod z her, vybavení nové knihovny</t>
  </si>
  <si>
    <t xml:space="preserve">Opravy a udržování   ostatní opravy </t>
  </si>
  <si>
    <t>Ostatní nákupy (platba za soutěžící v akci Do práce na kole)</t>
  </si>
  <si>
    <t>Věcné dary (dárky účastníkům akcí, květiny)</t>
  </si>
  <si>
    <r>
      <t>Neinvestiční transfery spolkům-</t>
    </r>
    <r>
      <rPr>
        <b/>
        <sz val="12"/>
        <rFont val="Arial CE"/>
        <charset val="238"/>
      </rPr>
      <t>o.s.Rozvoj Zeleného údolí</t>
    </r>
  </si>
  <si>
    <r>
      <t>Neinvestiční transfery spolkům-</t>
    </r>
    <r>
      <rPr>
        <b/>
        <sz val="12"/>
        <rFont val="Arial CE"/>
        <charset val="238"/>
      </rPr>
      <t xml:space="preserve">o.s.NaKole </t>
    </r>
    <r>
      <rPr>
        <sz val="12"/>
        <rFont val="Arial CE"/>
        <charset val="238"/>
      </rPr>
      <t>dotace HMP hry</t>
    </r>
  </si>
  <si>
    <t>Ostatní neinvestiční transfery obyvatelstvu-kulturní akce-zájezdy pro seniory dotace HMP hry</t>
  </si>
  <si>
    <t>Neinvestiční transfery církvím a nábožen. společnostem-dar Nadačnímu fondu Svatovítské varhany</t>
  </si>
  <si>
    <r>
      <t xml:space="preserve">Ostatní neinvestiční transfery neziskovým apod. organizacím dotace HMP hry, převod prostředků roku 2016 - </t>
    </r>
    <r>
      <rPr>
        <b/>
        <sz val="12"/>
        <rFont val="Arial CE"/>
        <charset val="238"/>
      </rPr>
      <t>SK Slovan Kunratice</t>
    </r>
  </si>
  <si>
    <t>Ostatní neinvestiční transfery neziskovým apod. organizacím-SK Slovan-dotace HMP 2017 odvod z her</t>
  </si>
  <si>
    <t xml:space="preserve">Ostatní neinvestiční transfery neziskovým apod. organizacím-SK Slovan Kunratice-vlastní zdroje </t>
  </si>
  <si>
    <t>Budovy, haly, stavby-hydrologický vrt na hřišti SK Slovan Kunratice a studna, dotace HMP 2017 odvod z her</t>
  </si>
  <si>
    <t>Budovy, haly, stavby-studna na hřišti SK Slovan Kunratice -dotace HMP 2017 odvod z her, převod prostředků roku 2017</t>
  </si>
  <si>
    <r>
      <t>Neinvestiční transfery spolkům-</t>
    </r>
    <r>
      <rPr>
        <b/>
        <sz val="12"/>
        <rFont val="Arial CE"/>
        <charset val="238"/>
      </rPr>
      <t>Start98 Praha-Kunratice-</t>
    </r>
    <r>
      <rPr>
        <sz val="12"/>
        <rFont val="Arial CE"/>
        <charset val="238"/>
      </rPr>
      <t>dotace HMP 2017 odvod z her</t>
    </r>
  </si>
  <si>
    <t>Neinvestiční transfery spolkům-Start98 Praha-Kunratice-vlastní zdroje</t>
  </si>
  <si>
    <r>
      <t>Ostatní neinv. transfery neziskovým apod. organizacím dotace HMP hry, převod prostředků roku 2016-</t>
    </r>
    <r>
      <rPr>
        <b/>
        <sz val="12"/>
        <rFont val="Arial CE"/>
        <charset val="238"/>
      </rPr>
      <t>TJ Sokol Kunratice</t>
    </r>
  </si>
  <si>
    <t>Ostatní neinv. transfery neziskovým apod. organizacím-TJ Sokol Kunratice -dotace HMP 2017 odvod z her</t>
  </si>
  <si>
    <t>Drobný hmotný dlouhodobý majetek-stacionární přístroje Linky tísňového volání pro občany</t>
  </si>
  <si>
    <t>Neinvestiční transfery obecně prospěšným společnostem-Polovina nebe, o.p.s. dotace HMP hry</t>
  </si>
  <si>
    <t>Nákup ostatních služeb: očíslování urnového háje, dokumentace úprav hřbitovní zdi, výsadba trávy rozptylová loučka a ostatní služby</t>
  </si>
  <si>
    <t>Nákup ostatních služeb -demolice čp. 8 K Libuši vč. projektu</t>
  </si>
  <si>
    <t>Drobný hmotný dlouhodobý majetek-lavičky, kontejnery na textil, hrací prvky do 40,0 tis. a ostatní</t>
  </si>
  <si>
    <t>Nákup ostatních služeb -spoluúčast k dotaci SFŽP na kompostéry pro občany (dokumentace, výběrové řízení)</t>
  </si>
  <si>
    <t>Nákup dlouhodobého hmotného majetku-fitness prvek Zelená cesta</t>
  </si>
  <si>
    <t>Nákup materiálu - květiny jubilantům (je v pol. 5194)</t>
  </si>
  <si>
    <r>
      <t>Neinvestiční transfery spolkům -PC klub pro hendikepované</t>
    </r>
    <r>
      <rPr>
        <b/>
        <sz val="12"/>
        <rFont val="Arial CE"/>
        <charset val="238"/>
      </rPr>
      <t xml:space="preserve"> Křižovatka,</t>
    </r>
    <r>
      <rPr>
        <sz val="12"/>
        <rFont val="Arial CE"/>
        <charset val="238"/>
      </rPr>
      <t xml:space="preserve"> z.s. dotace HMP hry</t>
    </r>
  </si>
  <si>
    <r>
      <t>Neinvestiční transfery spolkům -</t>
    </r>
    <r>
      <rPr>
        <b/>
        <sz val="12"/>
        <rFont val="Arial CE"/>
        <charset val="238"/>
      </rPr>
      <t>MO STP Flora</t>
    </r>
    <r>
      <rPr>
        <sz val="12"/>
        <rFont val="Arial CE"/>
        <charset val="238"/>
      </rPr>
      <t xml:space="preserve"> dotace HMP hry</t>
    </r>
  </si>
  <si>
    <r>
      <t>Neinvestiční transfery spolkům -</t>
    </r>
    <r>
      <rPr>
        <b/>
        <sz val="12"/>
        <rFont val="Arial CE"/>
        <charset val="238"/>
      </rPr>
      <t>Rehabilitace Hornomlýnská</t>
    </r>
    <r>
      <rPr>
        <sz val="12"/>
        <rFont val="Arial CE"/>
        <charset val="238"/>
      </rPr>
      <t xml:space="preserve"> dotace HMP hry</t>
    </r>
  </si>
  <si>
    <t>Drobný hmotný dlouhodobý majetek - všeobecný -rozpočtové prostředky, ne fond DCHB)</t>
  </si>
  <si>
    <t>Nákup materiálu-hrazeno z pojistného</t>
  </si>
  <si>
    <t>Nákup ostatních služeb - dodávka a instalace požárních hlásičů do bytů, revize, mytí oken</t>
  </si>
  <si>
    <t>Věcné dary-květiny aj. účinkujícím při kulturních pořadech</t>
  </si>
  <si>
    <t>Nákup ostatních služeb - vlastní zdroje</t>
  </si>
  <si>
    <t>Nákup ostatních služeb - dotace HMP (revize dýchací techniky…)</t>
  </si>
  <si>
    <t xml:space="preserve">Opravy a udržování  - dotace HMP-oprava požárních vozidel  </t>
  </si>
  <si>
    <t>Účastnické poplatky na konference</t>
  </si>
  <si>
    <r>
      <t xml:space="preserve">Neinvestiční transfery spolkům dotace </t>
    </r>
    <r>
      <rPr>
        <b/>
        <sz val="12"/>
        <rFont val="Arial CE"/>
        <charset val="238"/>
      </rPr>
      <t>Záchranná brigáda kynologů Praha</t>
    </r>
  </si>
  <si>
    <r>
      <t xml:space="preserve">Neinvestiční transfery spolkům dotace </t>
    </r>
    <r>
      <rPr>
        <b/>
        <sz val="12"/>
        <rFont val="Arial CE"/>
        <charset val="238"/>
      </rPr>
      <t>ZO českého svazu chovatelů Praha 4 Kunratice</t>
    </r>
  </si>
  <si>
    <t>Dary obyvatelstvu (veřejná sbírka pro pozůstalé po hasiči zemřelém při zásahu ve Zvoli 10,0 tis.)</t>
  </si>
  <si>
    <t>Volby do Parlamentu ČR-volby do Poslanecké sněmovny 2017</t>
  </si>
  <si>
    <t>Volba prezidenta republiky</t>
  </si>
  <si>
    <t>Služby školení a vzdělávání - dotace HMP-zkoušky odb. způsobilosti</t>
  </si>
  <si>
    <t>Programové vybavení</t>
  </si>
  <si>
    <t>Převody mezi statutárními městy (HMP) a jejich městskými obvody nebo částmi - odvod finančního vypořádání 2016</t>
  </si>
  <si>
    <t xml:space="preserve">2017 Nákup ostatních služeb celkem: rozpočet 1 550,00 tis., skutečnost 1 401 783,79 Kč                          </t>
  </si>
  <si>
    <t xml:space="preserve">2018 Nákup ostatních služeb celkem: rozpočet 1 600,00 tis.,                           </t>
  </si>
  <si>
    <t xml:space="preserve">2018 Opravy a udržování celkem: rozpočet 970,00 tis.                                                                                                                                                                                                                                                  </t>
  </si>
  <si>
    <t>Stroje, přístroje, zařízení-světelný výstražný panel k přechodu pro chodce</t>
  </si>
  <si>
    <t>2017 Plošné rekonstrukce komunikací Kunratice-vlastní zdroje</t>
  </si>
  <si>
    <t>2017 Plošné rekonstrukce komunikací Kunratice-dotace HMP</t>
  </si>
  <si>
    <t>Budovy, haly, stavby</t>
  </si>
  <si>
    <t>Plošné rekonstrukce komunikací Kunratice</t>
  </si>
  <si>
    <t>2018 Plošné rekonstrukce komunikací Kunratice-rekonstrukce dalších ulic</t>
  </si>
  <si>
    <t>2018 Plošné rekonstrukce komunikací Kunratice-dokončení etapy z roku 2017 vč. doplatku smluvní pozastávky 10%</t>
  </si>
  <si>
    <t>Výstavba chodníku ze zámkové dlažby propojujícího ul. Demlova a Technologická</t>
  </si>
  <si>
    <t>Výstavba mlatového chodníku propojujícího obě části ul. Za Bažantnicí</t>
  </si>
  <si>
    <t>Nákup ostatních služeb-pasporty meliorační sítě v lokalitě U Rakovky (2017 havarijní čištění kanalizace K Verneráku)</t>
  </si>
  <si>
    <t>Nákup ostatních služeb (2017 posudek techn. stavu)</t>
  </si>
  <si>
    <t>Opravy a udržování-oprava poškozené studny k přívodu vody do rybníka Ohrada (2017 oprava elektroinstalace)</t>
  </si>
  <si>
    <t>Nákup dlouhodobého hmotného majetku-Revitalizace rybníka Ohrada</t>
  </si>
  <si>
    <t>Věcné dary-jubileum občana, květiny</t>
  </si>
  <si>
    <t>Opravy a udržování - oprava hřbitovní zdi a ostatní drobné opravy (2017 oprava písma památníku padlých)</t>
  </si>
  <si>
    <t xml:space="preserve">Opravy a udržování - opravy čp. 7, oprava dlažby před radnicí, údržba a oprava kašny a ostatní běžné </t>
  </si>
  <si>
    <t>Poskytnuté náhrady-svědecká výpověď přestupky (+např.sociální pohřeb)</t>
  </si>
  <si>
    <r>
      <t>Drobný hmotný dlouhodobý majetek-</t>
    </r>
    <r>
      <rPr>
        <b/>
        <sz val="12"/>
        <rFont val="Arial CE"/>
        <charset val="238"/>
      </rPr>
      <t>vybavení nových tříd</t>
    </r>
    <r>
      <rPr>
        <sz val="12"/>
        <rFont val="Arial CE"/>
        <charset val="238"/>
      </rPr>
      <t>,</t>
    </r>
    <r>
      <rPr>
        <b/>
        <sz val="12"/>
        <rFont val="Arial CE"/>
        <charset val="238"/>
      </rPr>
      <t xml:space="preserve"> vlastní zdroje</t>
    </r>
    <r>
      <rPr>
        <sz val="12"/>
        <rFont val="Arial CE"/>
        <charset val="238"/>
      </rPr>
      <t xml:space="preserve"> -ZŠ Kunratice-rozšíření kapacity-přístavba a nástavba učeben </t>
    </r>
  </si>
  <si>
    <r>
      <t>Drobný hmotný dlouhodobý majetek-</t>
    </r>
    <r>
      <rPr>
        <b/>
        <sz val="12"/>
        <rFont val="Arial CE"/>
        <charset val="238"/>
      </rPr>
      <t>vybavení nových tříd</t>
    </r>
    <r>
      <rPr>
        <sz val="12"/>
        <rFont val="Arial CE"/>
        <charset val="238"/>
      </rPr>
      <t xml:space="preserve"> ponechání </t>
    </r>
    <r>
      <rPr>
        <b/>
        <sz val="12"/>
        <rFont val="Arial CE"/>
        <charset val="238"/>
      </rPr>
      <t>dotace HMP 2016-spoluúčast</t>
    </r>
    <r>
      <rPr>
        <sz val="12"/>
        <rFont val="Arial CE"/>
        <charset val="238"/>
      </rPr>
      <t xml:space="preserve"> </t>
    </r>
    <r>
      <rPr>
        <b/>
        <sz val="12"/>
        <rFont val="Arial CE"/>
        <charset val="238"/>
      </rPr>
      <t>k neinvestiční dotaci MŠMT</t>
    </r>
    <r>
      <rPr>
        <sz val="12"/>
        <rFont val="Arial CE"/>
        <charset val="238"/>
      </rPr>
      <t xml:space="preserve"> -ZŠ Kunratice-rozšíření kapacity-přístavba a nástavba učeben  </t>
    </r>
  </si>
  <si>
    <r>
      <t>Drobný hmotný dlouhodobý majetek-</t>
    </r>
    <r>
      <rPr>
        <b/>
        <sz val="12"/>
        <rFont val="Arial CE"/>
        <charset val="238"/>
      </rPr>
      <t>vybavení nových tříd</t>
    </r>
    <r>
      <rPr>
        <sz val="12"/>
        <rFont val="Arial CE"/>
        <charset val="238"/>
      </rPr>
      <t xml:space="preserve"> uvolnění </t>
    </r>
    <r>
      <rPr>
        <b/>
        <sz val="12"/>
        <rFont val="Arial CE"/>
        <charset val="238"/>
      </rPr>
      <t xml:space="preserve">neinvestiční dotace MŠMT </t>
    </r>
    <r>
      <rPr>
        <sz val="12"/>
        <rFont val="Arial CE"/>
        <charset val="238"/>
      </rPr>
      <t xml:space="preserve">-ZŠ Kunratice-rozšíření kapacity-přístavba a nástavba učeben  </t>
    </r>
  </si>
  <si>
    <r>
      <t>Nákup materiálu-vybavení nových tříd-30ks malých stoliček-</t>
    </r>
    <r>
      <rPr>
        <b/>
        <sz val="12"/>
        <rFont val="Arial CE"/>
        <charset val="238"/>
      </rPr>
      <t>dotace MŠMT</t>
    </r>
  </si>
  <si>
    <r>
      <t>Nákup ostatních služeb-</t>
    </r>
    <r>
      <rPr>
        <b/>
        <sz val="12"/>
        <rFont val="Arial CE"/>
        <charset val="238"/>
      </rPr>
      <t>dotace HMP</t>
    </r>
    <r>
      <rPr>
        <sz val="12"/>
        <rFont val="Arial CE"/>
        <charset val="238"/>
      </rPr>
      <t xml:space="preserve"> spoluúčast na vybavení nových tříd-výběrová řízení</t>
    </r>
  </si>
  <si>
    <r>
      <t xml:space="preserve">Programové vybavení-SW k vybavení interakt. tabulí a displejů, </t>
    </r>
    <r>
      <rPr>
        <b/>
        <sz val="12"/>
        <rFont val="Arial CE"/>
        <charset val="238"/>
      </rPr>
      <t>dotace HMP na vybavení</t>
    </r>
  </si>
  <si>
    <t xml:space="preserve">Věcné dary -ke Dni učitelů (2017 na 300 ks knih pro 1. třídy) </t>
  </si>
  <si>
    <t xml:space="preserve">Neinvestiční příspěvky zřízeným příspěvkovým organizacím: spolufinancování MČ v případě získání podpory projektu OPPPR Zajištění vybavenosti škol pro rozvoj gramotnosti a kompetencí žáků na ZŠ Kunratice </t>
  </si>
  <si>
    <t>ZŠ Kunratice-Dostavba sportovišť v areálu ZŠ Kunratice- vlastní zdroje</t>
  </si>
  <si>
    <t xml:space="preserve">Ostatní neinvestiční transfery neziskovým apod. organizacím </t>
  </si>
  <si>
    <t>Ostatní neinv. transfery neziskovým apod. organizacím (rok 2017 dotace HMP hry, převod prostředků roku 2016)</t>
  </si>
  <si>
    <t>Ostatní zájmová činnost a rekreace-vybudování fitparku</t>
  </si>
  <si>
    <t>Neinvestiční transfery obecně prospěšným společnostem</t>
  </si>
  <si>
    <t>Ostatní speciální zdravotnická péče-Divadlo v parku a Babí léto v pohybu</t>
  </si>
  <si>
    <t>Nákup ostatních služeb - festival Divadlo v parku-dotace HMP</t>
  </si>
  <si>
    <t>Nákup ostatních služeb - festival Babí léto v pohybu dotace HMP</t>
  </si>
  <si>
    <t xml:space="preserve">Nákup ostatních služeb-drobné služby- (PRE…), </t>
  </si>
  <si>
    <t>Opravy a udržování  (..Golčova 28)</t>
  </si>
  <si>
    <t>Nákup ostatních služeb (r. 2017 vyčištění)</t>
  </si>
  <si>
    <t xml:space="preserve">Opravy a udržování-oprava vytápění a ohřevu vody, výměna kotle, ostatní opravy </t>
  </si>
  <si>
    <t>Domovy - Dům s chráněnými byty celkem, v tom zapojení fondu DCHB: 2017 rozpočet 582,0 tis.</t>
  </si>
  <si>
    <t>Nákup dlouhodobého hmotného majetku-Vybudování fitparku</t>
  </si>
  <si>
    <t xml:space="preserve">Odstupné </t>
  </si>
  <si>
    <t>predikce 12/2017</t>
  </si>
  <si>
    <t xml:space="preserve">Nespecifikované rezervy-odvod z her, převod prostředků roku 2017
</t>
  </si>
  <si>
    <t>Neinvestiční transfery zřízeným přísp.organizacím -dotace MŠMT a EU Šablony MŠ</t>
  </si>
  <si>
    <t>Nákup ostatních služeb-KZ, kulturní akce…(2018 hudební produkce pro Divadlo v parku)</t>
  </si>
  <si>
    <t>Opravy a udržování - opravy kanalizačních vpustí (2017 havárie v ul. Pražského povstání a K Bažantnici)</t>
  </si>
  <si>
    <t>RU 11/2017</t>
  </si>
  <si>
    <t xml:space="preserve"> Skutečnost Kč</t>
  </si>
  <si>
    <t>11/2017</t>
  </si>
  <si>
    <t xml:space="preserve">Nákup ostatních služeb </t>
  </si>
  <si>
    <t xml:space="preserve">2017 Opravy a udržování celkem: rozpočet 1 170,00 tis., skutečnost   883 709,70 Kč                                                                                                                                                                                                                                                   </t>
  </si>
  <si>
    <t>ROZPOČET ROKU 2018 a PLNĚNÍ PŘÍJMU A ČERPÁNÍ VÝDAJU 2017</t>
  </si>
  <si>
    <t>VÝDAJE 2018</t>
  </si>
  <si>
    <t>Rozpočet 2018</t>
  </si>
  <si>
    <t>PŘÍJMY 2018</t>
  </si>
  <si>
    <t>Návrh byl zveřejněn na elektronické úřední desce www. praha-kunratice.cz dne 4.prosince 2017</t>
  </si>
  <si>
    <t>Rozpočet byl schválen usnesením Zastupitelstva MČ Praha Kunratice č. 23.10 dne 20. prosince 2017</t>
  </si>
  <si>
    <t>Návrh byl vyvěšen na úřední desku dne  4. prosince 2017</t>
  </si>
  <si>
    <t xml:space="preserve">
Rozpočet MČ Praha Kunratice na rok 2018 zahrnuje vysoký podíl investičních výdajů na komunikace a dokončení rekonstrukce objektů. Rozdíl mezi příjmy a výdaji je vyrovnán úsporami prostředků z hospodaření minulých let 42 327,0 tis. Kč Do rozpočtu je zapojeno 582,00 tis. Kč z fondu Domu s chráněnými byty, který je vytvářen z hospodářského výsledku hospodářské činnosti MČ pro potřebu oprav objektu a akcí pro nájemníky a převod odvodu z provozu výherních hracích automatů a jiných her z roku 2017 ve výši 1 026,5 tis. Kč. Je zažádáno o několik dotací. MČ nemá uzavřenu žádnou úvěrovou smlouvu ani do budoucna o úvěru neuvažuje.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</si>
</sst>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i/>
      <sz val="10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sz val="10"/>
      <color indexed="10"/>
      <name val="Arial CE"/>
      <charset val="238"/>
    </font>
    <font>
      <sz val="12"/>
      <name val="Arial CE"/>
      <charset val="238"/>
    </font>
    <font>
      <sz val="12"/>
      <name val="Arial CE"/>
      <family val="2"/>
      <charset val="238"/>
    </font>
    <font>
      <sz val="12"/>
      <color indexed="10"/>
      <name val="Arial CE"/>
      <charset val="238"/>
    </font>
    <font>
      <i/>
      <sz val="12"/>
      <name val="Arial CE"/>
      <charset val="238"/>
    </font>
    <font>
      <b/>
      <sz val="12"/>
      <color indexed="10"/>
      <name val="Arial CE"/>
      <charset val="238"/>
    </font>
    <font>
      <b/>
      <sz val="12"/>
      <color indexed="10"/>
      <name val="Arial CE"/>
      <family val="2"/>
      <charset val="238"/>
    </font>
    <font>
      <i/>
      <sz val="12"/>
      <color indexed="10"/>
      <name val="Arial CE"/>
      <charset val="238"/>
    </font>
    <font>
      <sz val="12"/>
      <color indexed="10"/>
      <name val="Arial CE"/>
      <charset val="238"/>
    </font>
    <font>
      <sz val="10"/>
      <name val="Arial CE"/>
      <charset val="238"/>
    </font>
    <font>
      <u/>
      <sz val="12"/>
      <name val="Arial CE"/>
      <charset val="238"/>
    </font>
    <font>
      <u/>
      <sz val="10"/>
      <name val="Arial CE"/>
      <charset val="238"/>
    </font>
    <font>
      <sz val="12"/>
      <color indexed="30"/>
      <name val="Arial CE"/>
      <charset val="238"/>
    </font>
    <font>
      <u/>
      <sz val="10"/>
      <color theme="10"/>
      <name val="Arial CE"/>
      <charset val="238"/>
    </font>
    <font>
      <u/>
      <sz val="1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8"/>
      </patternFill>
    </fill>
    <fill>
      <patternFill patternType="solid">
        <fgColor rgb="FFCCFFFF"/>
        <bgColor rgb="FF000000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353">
    <xf numFmtId="0" fontId="0" fillId="0" borderId="0" xfId="0"/>
    <xf numFmtId="0" fontId="1" fillId="0" borderId="0" xfId="0" applyFont="1" applyAlignment="1">
      <alignment horizontal="center"/>
    </xf>
    <xf numFmtId="4" fontId="0" fillId="0" borderId="0" xfId="0" applyNumberFormat="1"/>
    <xf numFmtId="0" fontId="1" fillId="0" borderId="0" xfId="0" applyFont="1"/>
    <xf numFmtId="4" fontId="0" fillId="0" borderId="0" xfId="0" applyNumberFormat="1" applyBorder="1"/>
    <xf numFmtId="4" fontId="1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 wrapText="1"/>
    </xf>
    <xf numFmtId="0" fontId="0" fillId="0" borderId="0" xfId="0" applyFont="1"/>
    <xf numFmtId="4" fontId="0" fillId="0" borderId="0" xfId="0" applyNumberFormat="1" applyFont="1"/>
    <xf numFmtId="4" fontId="6" fillId="0" borderId="1" xfId="0" applyNumberFormat="1" applyFont="1" applyBorder="1"/>
    <xf numFmtId="4" fontId="7" fillId="0" borderId="2" xfId="0" applyNumberFormat="1" applyFont="1" applyBorder="1"/>
    <xf numFmtId="4" fontId="6" fillId="0" borderId="2" xfId="0" applyNumberFormat="1" applyFont="1" applyBorder="1"/>
    <xf numFmtId="4" fontId="8" fillId="0" borderId="2" xfId="0" applyNumberFormat="1" applyFont="1" applyBorder="1"/>
    <xf numFmtId="4" fontId="6" fillId="0" borderId="3" xfId="0" applyNumberFormat="1" applyFont="1" applyBorder="1"/>
    <xf numFmtId="4" fontId="6" fillId="0" borderId="4" xfId="0" applyNumberFormat="1" applyFont="1" applyBorder="1"/>
    <xf numFmtId="4" fontId="9" fillId="0" borderId="0" xfId="0" applyNumberFormat="1" applyFont="1"/>
    <xf numFmtId="0" fontId="7" fillId="2" borderId="5" xfId="0" applyNumberFormat="1" applyFont="1" applyFill="1" applyBorder="1" applyAlignment="1">
      <alignment horizontal="center"/>
    </xf>
    <xf numFmtId="0" fontId="7" fillId="2" borderId="6" xfId="0" applyNumberFormat="1" applyFont="1" applyFill="1" applyBorder="1" applyAlignment="1">
      <alignment horizontal="center"/>
    </xf>
    <xf numFmtId="4" fontId="7" fillId="2" borderId="6" xfId="0" applyNumberFormat="1" applyFont="1" applyFill="1" applyBorder="1" applyAlignment="1">
      <alignment horizontal="center"/>
    </xf>
    <xf numFmtId="4" fontId="7" fillId="2" borderId="4" xfId="0" applyNumberFormat="1" applyFont="1" applyFill="1" applyBorder="1" applyAlignment="1">
      <alignment horizontal="center"/>
    </xf>
    <xf numFmtId="4" fontId="7" fillId="2" borderId="7" xfId="0" applyNumberFormat="1" applyFont="1" applyFill="1" applyBorder="1" applyAlignment="1">
      <alignment horizontal="center"/>
    </xf>
    <xf numFmtId="4" fontId="6" fillId="0" borderId="7" xfId="0" applyNumberFormat="1" applyFont="1" applyBorder="1"/>
    <xf numFmtId="4" fontId="1" fillId="0" borderId="0" xfId="0" applyNumberFormat="1" applyFont="1" applyAlignment="1">
      <alignment horizontal="center"/>
    </xf>
    <xf numFmtId="4" fontId="0" fillId="0" borderId="0" xfId="0" applyNumberFormat="1" applyFont="1" applyBorder="1"/>
    <xf numFmtId="4" fontId="12" fillId="0" borderId="0" xfId="0" applyNumberFormat="1" applyFont="1"/>
    <xf numFmtId="4" fontId="7" fillId="0" borderId="3" xfId="0" applyNumberFormat="1" applyFont="1" applyFill="1" applyBorder="1" applyAlignment="1">
      <alignment horizontal="center"/>
    </xf>
    <xf numFmtId="4" fontId="7" fillId="0" borderId="8" xfId="0" applyNumberFormat="1" applyFont="1" applyFill="1" applyBorder="1" applyAlignment="1">
      <alignment horizontal="center"/>
    </xf>
    <xf numFmtId="4" fontId="5" fillId="0" borderId="0" xfId="0" applyNumberFormat="1" applyFont="1" applyFill="1"/>
    <xf numFmtId="0" fontId="0" fillId="0" borderId="0" xfId="0" applyFill="1"/>
    <xf numFmtId="4" fontId="7" fillId="0" borderId="9" xfId="0" applyNumberFormat="1" applyFont="1" applyFill="1" applyBorder="1"/>
    <xf numFmtId="4" fontId="7" fillId="0" borderId="1" xfId="0" applyNumberFormat="1" applyFont="1" applyFill="1" applyBorder="1"/>
    <xf numFmtId="0" fontId="0" fillId="3" borderId="0" xfId="0" applyFill="1"/>
    <xf numFmtId="4" fontId="0" fillId="3" borderId="0" xfId="0" applyNumberFormat="1" applyFill="1"/>
    <xf numFmtId="0" fontId="0" fillId="0" borderId="0" xfId="0" applyFont="1" applyBorder="1"/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0" xfId="0" applyFont="1"/>
    <xf numFmtId="0" fontId="13" fillId="0" borderId="12" xfId="0" applyFont="1" applyBorder="1" applyAlignment="1">
      <alignment wrapText="1"/>
    </xf>
    <xf numFmtId="0" fontId="13" fillId="0" borderId="13" xfId="0" applyFont="1" applyBorder="1" applyAlignment="1">
      <alignment wrapText="1"/>
    </xf>
    <xf numFmtId="0" fontId="3" fillId="0" borderId="13" xfId="0" applyFont="1" applyBorder="1" applyAlignment="1">
      <alignment wrapText="1"/>
    </xf>
    <xf numFmtId="4" fontId="13" fillId="0" borderId="1" xfId="0" applyNumberFormat="1" applyFont="1" applyBorder="1"/>
    <xf numFmtId="4" fontId="13" fillId="0" borderId="14" xfId="0" applyNumberFormat="1" applyFont="1" applyBorder="1"/>
    <xf numFmtId="4" fontId="3" fillId="0" borderId="15" xfId="0" applyNumberFormat="1" applyFont="1" applyBorder="1"/>
    <xf numFmtId="0" fontId="13" fillId="0" borderId="1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4" fontId="13" fillId="0" borderId="2" xfId="0" applyNumberFormat="1" applyFont="1" applyBorder="1"/>
    <xf numFmtId="4" fontId="13" fillId="0" borderId="15" xfId="0" applyNumberFormat="1" applyFont="1" applyBorder="1"/>
    <xf numFmtId="0" fontId="3" fillId="0" borderId="12" xfId="0" applyFont="1" applyBorder="1" applyAlignment="1">
      <alignment wrapText="1"/>
    </xf>
    <xf numFmtId="0" fontId="3" fillId="0" borderId="17" xfId="0" applyFont="1" applyFill="1" applyBorder="1" applyAlignment="1">
      <alignment horizontal="left" wrapText="1"/>
    </xf>
    <xf numFmtId="0" fontId="11" fillId="0" borderId="12" xfId="0" applyFont="1" applyBorder="1" applyAlignment="1">
      <alignment wrapText="1"/>
    </xf>
    <xf numFmtId="4" fontId="11" fillId="0" borderId="2" xfId="0" applyNumberFormat="1" applyFont="1" applyBorder="1"/>
    <xf numFmtId="4" fontId="11" fillId="0" borderId="10" xfId="0" applyNumberFormat="1" applyFont="1" applyBorder="1"/>
    <xf numFmtId="0" fontId="11" fillId="0" borderId="18" xfId="0" applyFont="1" applyBorder="1"/>
    <xf numFmtId="4" fontId="13" fillId="0" borderId="0" xfId="0" applyNumberFormat="1" applyFont="1"/>
    <xf numFmtId="0" fontId="14" fillId="0" borderId="11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4" fillId="0" borderId="13" xfId="0" applyFont="1" applyBorder="1" applyAlignment="1">
      <alignment wrapText="1"/>
    </xf>
    <xf numFmtId="0" fontId="13" fillId="0" borderId="0" xfId="0" applyFont="1" applyAlignment="1">
      <alignment wrapText="1"/>
    </xf>
    <xf numFmtId="0" fontId="13" fillId="3" borderId="0" xfId="0" applyFont="1" applyFill="1"/>
    <xf numFmtId="0" fontId="11" fillId="4" borderId="0" xfId="0" applyFont="1" applyFill="1"/>
    <xf numFmtId="0" fontId="11" fillId="0" borderId="0" xfId="0" applyFont="1"/>
    <xf numFmtId="0" fontId="11" fillId="5" borderId="21" xfId="0" applyFont="1" applyFill="1" applyBorder="1" applyAlignment="1">
      <alignment horizontal="center"/>
    </xf>
    <xf numFmtId="4" fontId="11" fillId="5" borderId="22" xfId="0" applyNumberFormat="1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4" fontId="11" fillId="0" borderId="24" xfId="0" applyNumberFormat="1" applyFont="1" applyFill="1" applyBorder="1" applyAlignment="1">
      <alignment horizontal="center"/>
    </xf>
    <xf numFmtId="4" fontId="13" fillId="0" borderId="10" xfId="0" applyNumberFormat="1" applyFont="1" applyBorder="1"/>
    <xf numFmtId="4" fontId="11" fillId="0" borderId="18" xfId="0" applyNumberFormat="1" applyFont="1" applyBorder="1"/>
    <xf numFmtId="4" fontId="13" fillId="0" borderId="11" xfId="0" applyNumberFormat="1" applyFont="1" applyBorder="1"/>
    <xf numFmtId="0" fontId="11" fillId="0" borderId="25" xfId="0" applyFont="1" applyBorder="1"/>
    <xf numFmtId="4" fontId="13" fillId="0" borderId="26" xfId="0" applyNumberFormat="1" applyFont="1" applyBorder="1"/>
    <xf numFmtId="0" fontId="11" fillId="0" borderId="27" xfId="0" applyFont="1" applyBorder="1"/>
    <xf numFmtId="4" fontId="11" fillId="0" borderId="28" xfId="0" applyNumberFormat="1" applyFont="1" applyFill="1" applyBorder="1"/>
    <xf numFmtId="4" fontId="11" fillId="0" borderId="29" xfId="0" applyNumberFormat="1" applyFont="1" applyFill="1" applyBorder="1"/>
    <xf numFmtId="4" fontId="11" fillId="0" borderId="10" xfId="0" applyNumberFormat="1" applyFont="1" applyFill="1" applyBorder="1"/>
    <xf numFmtId="4" fontId="11" fillId="0" borderId="30" xfId="0" applyNumberFormat="1" applyFont="1" applyFill="1" applyBorder="1"/>
    <xf numFmtId="4" fontId="11" fillId="0" borderId="11" xfId="0" applyNumberFormat="1" applyFont="1" applyBorder="1"/>
    <xf numFmtId="4" fontId="11" fillId="0" borderId="31" xfId="0" applyNumberFormat="1" applyFont="1" applyBorder="1"/>
    <xf numFmtId="4" fontId="11" fillId="0" borderId="32" xfId="0" applyNumberFormat="1" applyFont="1" applyBorder="1"/>
    <xf numFmtId="0" fontId="13" fillId="0" borderId="1" xfId="0" applyFont="1" applyBorder="1" applyAlignment="1">
      <alignment wrapText="1"/>
    </xf>
    <xf numFmtId="0" fontId="13" fillId="3" borderId="0" xfId="0" applyFont="1" applyFill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3" fillId="2" borderId="2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13" fillId="2" borderId="2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 wrapText="1"/>
    </xf>
    <xf numFmtId="0" fontId="13" fillId="0" borderId="23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4" fillId="2" borderId="35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wrapText="1"/>
    </xf>
    <xf numFmtId="0" fontId="13" fillId="0" borderId="10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13" fillId="4" borderId="34" xfId="0" applyFont="1" applyFill="1" applyBorder="1" applyAlignment="1">
      <alignment horizontal="center"/>
    </xf>
    <xf numFmtId="0" fontId="13" fillId="4" borderId="35" xfId="0" applyFont="1" applyFill="1" applyBorder="1" applyAlignment="1">
      <alignment horizontal="center"/>
    </xf>
    <xf numFmtId="0" fontId="3" fillId="4" borderId="35" xfId="0" applyFont="1" applyFill="1" applyBorder="1" applyAlignment="1">
      <alignment wrapText="1"/>
    </xf>
    <xf numFmtId="0" fontId="13" fillId="0" borderId="0" xfId="0" applyFont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16" xfId="0" applyFont="1" applyBorder="1" applyAlignment="1">
      <alignment wrapText="1"/>
    </xf>
    <xf numFmtId="4" fontId="11" fillId="0" borderId="4" xfId="0" applyNumberFormat="1" applyFont="1" applyBorder="1"/>
    <xf numFmtId="4" fontId="3" fillId="0" borderId="37" xfId="0" applyNumberFormat="1" applyFont="1" applyBorder="1"/>
    <xf numFmtId="4" fontId="3" fillId="0" borderId="30" xfId="0" applyNumberFormat="1" applyFont="1" applyBorder="1"/>
    <xf numFmtId="4" fontId="3" fillId="0" borderId="38" xfId="0" applyNumberFormat="1" applyFont="1" applyBorder="1"/>
    <xf numFmtId="4" fontId="3" fillId="0" borderId="39" xfId="0" applyNumberFormat="1" applyFont="1" applyBorder="1"/>
    <xf numFmtId="0" fontId="11" fillId="0" borderId="40" xfId="0" applyFont="1" applyBorder="1" applyAlignment="1">
      <alignment wrapText="1"/>
    </xf>
    <xf numFmtId="0" fontId="3" fillId="0" borderId="0" xfId="0" applyFont="1" applyAlignment="1">
      <alignment wrapText="1"/>
    </xf>
    <xf numFmtId="4" fontId="3" fillId="0" borderId="0" xfId="0" applyNumberFormat="1" applyFont="1"/>
    <xf numFmtId="4" fontId="11" fillId="0" borderId="0" xfId="0" applyNumberFormat="1" applyFont="1"/>
    <xf numFmtId="0" fontId="3" fillId="2" borderId="35" xfId="0" applyFont="1" applyFill="1" applyBorder="1" applyAlignment="1">
      <alignment wrapText="1"/>
    </xf>
    <xf numFmtId="0" fontId="13" fillId="2" borderId="35" xfId="0" applyFont="1" applyFill="1" applyBorder="1" applyAlignment="1">
      <alignment horizontal="center"/>
    </xf>
    <xf numFmtId="0" fontId="3" fillId="2" borderId="41" xfId="0" applyFont="1" applyFill="1" applyBorder="1" applyAlignment="1">
      <alignment wrapText="1"/>
    </xf>
    <xf numFmtId="4" fontId="13" fillId="0" borderId="30" xfId="0" applyNumberFormat="1" applyFont="1" applyBorder="1"/>
    <xf numFmtId="4" fontId="3" fillId="2" borderId="43" xfId="0" applyNumberFormat="1" applyFont="1" applyFill="1" applyBorder="1"/>
    <xf numFmtId="4" fontId="3" fillId="2" borderId="34" xfId="0" applyNumberFormat="1" applyFont="1" applyFill="1" applyBorder="1"/>
    <xf numFmtId="4" fontId="3" fillId="2" borderId="44" xfId="0" applyNumberFormat="1" applyFont="1" applyFill="1" applyBorder="1"/>
    <xf numFmtId="4" fontId="3" fillId="2" borderId="35" xfId="0" applyNumberFormat="1" applyFont="1" applyFill="1" applyBorder="1"/>
    <xf numFmtId="4" fontId="3" fillId="4" borderId="43" xfId="0" applyNumberFormat="1" applyFont="1" applyFill="1" applyBorder="1"/>
    <xf numFmtId="4" fontId="3" fillId="4" borderId="45" xfId="0" applyNumberFormat="1" applyFont="1" applyFill="1" applyBorder="1"/>
    <xf numFmtId="4" fontId="15" fillId="0" borderId="10" xfId="0" applyNumberFormat="1" applyFont="1" applyBorder="1"/>
    <xf numFmtId="0" fontId="13" fillId="3" borderId="24" xfId="0" applyFont="1" applyFill="1" applyBorder="1"/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wrapText="1"/>
    </xf>
    <xf numFmtId="4" fontId="13" fillId="3" borderId="0" xfId="0" applyNumberFormat="1" applyFont="1" applyFill="1" applyBorder="1"/>
    <xf numFmtId="0" fontId="13" fillId="3" borderId="0" xfId="0" applyFont="1" applyFill="1" applyBorder="1"/>
    <xf numFmtId="0" fontId="3" fillId="0" borderId="0" xfId="0" applyFont="1" applyBorder="1" applyAlignment="1">
      <alignment horizontal="center" wrapText="1"/>
    </xf>
    <xf numFmtId="0" fontId="13" fillId="0" borderId="46" xfId="0" applyFont="1" applyBorder="1" applyAlignment="1">
      <alignment horizontal="center"/>
    </xf>
    <xf numFmtId="4" fontId="13" fillId="0" borderId="46" xfId="0" applyNumberFormat="1" applyFont="1" applyBorder="1"/>
    <xf numFmtId="4" fontId="13" fillId="0" borderId="0" xfId="0" applyNumberFormat="1" applyFont="1" applyBorder="1"/>
    <xf numFmtId="0" fontId="13" fillId="0" borderId="0" xfId="0" applyFont="1" applyBorder="1"/>
    <xf numFmtId="0" fontId="13" fillId="0" borderId="24" xfId="0" applyFont="1" applyBorder="1"/>
    <xf numFmtId="4" fontId="3" fillId="2" borderId="5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horizontal="center"/>
    </xf>
    <xf numFmtId="4" fontId="3" fillId="2" borderId="7" xfId="0" applyNumberFormat="1" applyFont="1" applyFill="1" applyBorder="1" applyAlignment="1">
      <alignment horizontal="center"/>
    </xf>
    <xf numFmtId="4" fontId="11" fillId="5" borderId="47" xfId="0" applyNumberFormat="1" applyFont="1" applyFill="1" applyBorder="1" applyAlignment="1">
      <alignment horizontal="center"/>
    </xf>
    <xf numFmtId="4" fontId="13" fillId="0" borderId="29" xfId="0" applyNumberFormat="1" applyFont="1" applyBorder="1"/>
    <xf numFmtId="4" fontId="13" fillId="0" borderId="16" xfId="0" applyNumberFormat="1" applyFont="1" applyBorder="1"/>
    <xf numFmtId="4" fontId="13" fillId="0" borderId="32" xfId="0" applyNumberFormat="1" applyFont="1" applyBorder="1"/>
    <xf numFmtId="0" fontId="3" fillId="0" borderId="11" xfId="0" applyFont="1" applyBorder="1" applyAlignment="1">
      <alignment horizontal="center"/>
    </xf>
    <xf numFmtId="4" fontId="11" fillId="0" borderId="30" xfId="0" applyNumberFormat="1" applyFont="1" applyBorder="1"/>
    <xf numFmtId="4" fontId="11" fillId="0" borderId="1" xfId="0" applyNumberFormat="1" applyFont="1" applyBorder="1"/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0" fontId="13" fillId="0" borderId="19" xfId="0" applyFont="1" applyBorder="1" applyAlignment="1">
      <alignment wrapText="1"/>
    </xf>
    <xf numFmtId="4" fontId="13" fillId="0" borderId="13" xfId="0" applyNumberFormat="1" applyFont="1" applyBorder="1"/>
    <xf numFmtId="0" fontId="11" fillId="0" borderId="11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6" xfId="0" applyFont="1" applyBorder="1" applyAlignment="1">
      <alignment wrapText="1"/>
    </xf>
    <xf numFmtId="4" fontId="11" fillId="0" borderId="13" xfId="0" applyNumberFormat="1" applyFont="1" applyBorder="1"/>
    <xf numFmtId="4" fontId="3" fillId="0" borderId="2" xfId="0" applyNumberFormat="1" applyFont="1" applyBorder="1"/>
    <xf numFmtId="0" fontId="14" fillId="0" borderId="10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9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3" fillId="0" borderId="4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49" xfId="0" applyFont="1" applyBorder="1" applyAlignment="1">
      <alignment wrapText="1"/>
    </xf>
    <xf numFmtId="4" fontId="3" fillId="0" borderId="50" xfId="0" applyNumberFormat="1" applyFont="1" applyBorder="1"/>
    <xf numFmtId="4" fontId="3" fillId="0" borderId="51" xfId="0" applyNumberFormat="1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4" fontId="14" fillId="0" borderId="2" xfId="0" applyNumberFormat="1" applyFont="1" applyBorder="1"/>
    <xf numFmtId="0" fontId="3" fillId="0" borderId="16" xfId="0" applyFont="1" applyBorder="1" applyAlignment="1">
      <alignment horizontal="center"/>
    </xf>
    <xf numFmtId="0" fontId="13" fillId="0" borderId="1" xfId="0" applyFont="1" applyFill="1" applyBorder="1" applyAlignment="1">
      <alignment wrapText="1"/>
    </xf>
    <xf numFmtId="0" fontId="3" fillId="0" borderId="23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3" fillId="0" borderId="8" xfId="0" applyFont="1" applyBorder="1" applyAlignment="1">
      <alignment wrapText="1"/>
    </xf>
    <xf numFmtId="4" fontId="3" fillId="0" borderId="3" xfId="0" applyNumberFormat="1" applyFont="1" applyBorder="1"/>
    <xf numFmtId="4" fontId="13" fillId="0" borderId="8" xfId="0" applyNumberFormat="1" applyFont="1" applyBorder="1"/>
    <xf numFmtId="4" fontId="13" fillId="0" borderId="3" xfId="0" applyNumberFormat="1" applyFont="1" applyBorder="1"/>
    <xf numFmtId="4" fontId="13" fillId="0" borderId="27" xfId="0" applyNumberFormat="1" applyFont="1" applyBorder="1"/>
    <xf numFmtId="0" fontId="13" fillId="2" borderId="42" xfId="0" applyFont="1" applyFill="1" applyBorder="1" applyAlignment="1">
      <alignment horizontal="center"/>
    </xf>
    <xf numFmtId="4" fontId="3" fillId="2" borderId="35" xfId="0" applyNumberFormat="1" applyFont="1" applyFill="1" applyBorder="1" applyAlignment="1">
      <alignment wrapText="1"/>
    </xf>
    <xf numFmtId="4" fontId="11" fillId="2" borderId="44" xfId="0" applyNumberFormat="1" applyFont="1" applyFill="1" applyBorder="1"/>
    <xf numFmtId="0" fontId="3" fillId="0" borderId="14" xfId="0" applyFont="1" applyBorder="1" applyAlignment="1">
      <alignment wrapText="1"/>
    </xf>
    <xf numFmtId="4" fontId="3" fillId="0" borderId="14" xfId="0" applyNumberFormat="1" applyFont="1" applyBorder="1"/>
    <xf numFmtId="4" fontId="11" fillId="0" borderId="14" xfId="0" applyNumberFormat="1" applyFont="1" applyBorder="1"/>
    <xf numFmtId="4" fontId="11" fillId="0" borderId="15" xfId="0" applyNumberFormat="1" applyFont="1" applyBorder="1"/>
    <xf numFmtId="0" fontId="13" fillId="3" borderId="34" xfId="0" applyFont="1" applyFill="1" applyBorder="1" applyAlignment="1">
      <alignment horizontal="center"/>
    </xf>
    <xf numFmtId="0" fontId="13" fillId="3" borderId="42" xfId="0" applyFont="1" applyFill="1" applyBorder="1" applyAlignment="1">
      <alignment horizontal="center"/>
    </xf>
    <xf numFmtId="0" fontId="3" fillId="3" borderId="35" xfId="0" applyFont="1" applyFill="1" applyBorder="1" applyAlignment="1">
      <alignment wrapText="1"/>
    </xf>
    <xf numFmtId="4" fontId="3" fillId="3" borderId="35" xfId="0" applyNumberFormat="1" applyFont="1" applyFill="1" applyBorder="1"/>
    <xf numFmtId="4" fontId="3" fillId="3" borderId="43" xfId="0" applyNumberFormat="1" applyFont="1" applyFill="1" applyBorder="1"/>
    <xf numFmtId="4" fontId="3" fillId="3" borderId="45" xfId="0" applyNumberFormat="1" applyFont="1" applyFill="1" applyBorder="1"/>
    <xf numFmtId="4" fontId="3" fillId="3" borderId="44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4" fontId="3" fillId="0" borderId="0" xfId="0" applyNumberFormat="1" applyFont="1" applyFill="1" applyBorder="1"/>
    <xf numFmtId="0" fontId="3" fillId="0" borderId="0" xfId="0" applyFont="1" applyBorder="1" applyAlignment="1">
      <alignment wrapText="1"/>
    </xf>
    <xf numFmtId="4" fontId="3" fillId="0" borderId="0" xfId="0" applyNumberFormat="1" applyFont="1" applyBorder="1"/>
    <xf numFmtId="4" fontId="11" fillId="0" borderId="0" xfId="0" applyNumberFormat="1" applyFont="1" applyBorder="1"/>
    <xf numFmtId="0" fontId="1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3" borderId="45" xfId="0" applyFont="1" applyFill="1" applyBorder="1" applyAlignment="1">
      <alignment wrapText="1"/>
    </xf>
    <xf numFmtId="4" fontId="3" fillId="4" borderId="52" xfId="0" applyNumberFormat="1" applyFont="1" applyFill="1" applyBorder="1"/>
    <xf numFmtId="4" fontId="13" fillId="0" borderId="0" xfId="0" applyNumberFormat="1" applyFont="1" applyAlignment="1">
      <alignment horizontal="center"/>
    </xf>
    <xf numFmtId="4" fontId="3" fillId="3" borderId="41" xfId="0" applyNumberFormat="1" applyFont="1" applyFill="1" applyBorder="1"/>
    <xf numFmtId="0" fontId="14" fillId="0" borderId="0" xfId="0" applyFont="1" applyAlignment="1">
      <alignment wrapText="1"/>
    </xf>
    <xf numFmtId="0" fontId="16" fillId="0" borderId="0" xfId="0" applyFont="1" applyAlignment="1">
      <alignment wrapText="1"/>
    </xf>
    <xf numFmtId="4" fontId="16" fillId="0" borderId="0" xfId="0" applyNumberFormat="1" applyFont="1"/>
    <xf numFmtId="4" fontId="13" fillId="0" borderId="19" xfId="0" applyNumberFormat="1" applyFont="1" applyBorder="1"/>
    <xf numFmtId="0" fontId="3" fillId="0" borderId="14" xfId="0" applyFont="1" applyBorder="1" applyAlignment="1">
      <alignment horizontal="center"/>
    </xf>
    <xf numFmtId="0" fontId="14" fillId="0" borderId="12" xfId="0" applyFont="1" applyBorder="1" applyAlignment="1">
      <alignment wrapText="1"/>
    </xf>
    <xf numFmtId="0" fontId="15" fillId="3" borderId="0" xfId="0" applyFont="1" applyFill="1" applyBorder="1"/>
    <xf numFmtId="0" fontId="15" fillId="0" borderId="0" xfId="0" applyFont="1" applyBorder="1"/>
    <xf numFmtId="4" fontId="17" fillId="0" borderId="10" xfId="0" applyNumberFormat="1" applyFont="1" applyBorder="1"/>
    <xf numFmtId="4" fontId="18" fillId="0" borderId="10" xfId="0" applyNumberFormat="1" applyFont="1" applyBorder="1"/>
    <xf numFmtId="4" fontId="15" fillId="0" borderId="23" xfId="0" applyNumberFormat="1" applyFont="1" applyBorder="1"/>
    <xf numFmtId="4" fontId="18" fillId="0" borderId="0" xfId="0" applyNumberFormat="1" applyFont="1" applyFill="1" applyBorder="1"/>
    <xf numFmtId="4" fontId="17" fillId="0" borderId="0" xfId="0" applyNumberFormat="1" applyFont="1" applyBorder="1"/>
    <xf numFmtId="0" fontId="15" fillId="0" borderId="0" xfId="0" applyFont="1"/>
    <xf numFmtId="4" fontId="15" fillId="0" borderId="0" xfId="0" applyNumberFormat="1" applyFont="1"/>
    <xf numFmtId="4" fontId="18" fillId="0" borderId="24" xfId="0" applyNumberFormat="1" applyFont="1" applyFill="1" applyBorder="1"/>
    <xf numFmtId="4" fontId="15" fillId="0" borderId="0" xfId="0" applyNumberFormat="1" applyFont="1" applyAlignment="1">
      <alignment horizontal="center"/>
    </xf>
    <xf numFmtId="4" fontId="19" fillId="0" borderId="0" xfId="0" applyNumberFormat="1" applyFont="1"/>
    <xf numFmtId="0" fontId="13" fillId="0" borderId="34" xfId="0" applyFont="1" applyBorder="1" applyAlignment="1">
      <alignment horizontal="center"/>
    </xf>
    <xf numFmtId="4" fontId="0" fillId="0" borderId="0" xfId="0" applyNumberFormat="1" applyFont="1" applyFill="1" applyBorder="1"/>
    <xf numFmtId="49" fontId="0" fillId="0" borderId="0" xfId="0" applyNumberFormat="1"/>
    <xf numFmtId="4" fontId="3" fillId="0" borderId="10" xfId="0" applyNumberFormat="1" applyFont="1" applyBorder="1"/>
    <xf numFmtId="4" fontId="13" fillId="0" borderId="28" xfId="0" applyNumberFormat="1" applyFont="1" applyBorder="1"/>
    <xf numFmtId="4" fontId="13" fillId="0" borderId="10" xfId="0" applyNumberFormat="1" applyFont="1" applyFill="1" applyBorder="1"/>
    <xf numFmtId="4" fontId="13" fillId="0" borderId="0" xfId="0" applyNumberFormat="1" applyFont="1" applyFill="1" applyBorder="1"/>
    <xf numFmtId="4" fontId="11" fillId="0" borderId="48" xfId="0" applyNumberFormat="1" applyFont="1" applyBorder="1"/>
    <xf numFmtId="0" fontId="13" fillId="0" borderId="53" xfId="0" applyFont="1" applyBorder="1" applyAlignment="1">
      <alignment horizontal="center"/>
    </xf>
    <xf numFmtId="0" fontId="3" fillId="0" borderId="53" xfId="0" applyFont="1" applyBorder="1" applyAlignment="1">
      <alignment wrapText="1"/>
    </xf>
    <xf numFmtId="4" fontId="3" fillId="0" borderId="53" xfId="0" applyNumberFormat="1" applyFont="1" applyBorder="1"/>
    <xf numFmtId="4" fontId="11" fillId="0" borderId="53" xfId="0" applyNumberFormat="1" applyFont="1" applyBorder="1"/>
    <xf numFmtId="4" fontId="17" fillId="0" borderId="53" xfId="0" applyNumberFormat="1" applyFont="1" applyBorder="1"/>
    <xf numFmtId="4" fontId="3" fillId="0" borderId="11" xfId="0" applyNumberFormat="1" applyFont="1" applyBorder="1"/>
    <xf numFmtId="4" fontId="3" fillId="2" borderId="45" xfId="0" applyNumberFormat="1" applyFont="1" applyFill="1" applyBorder="1"/>
    <xf numFmtId="4" fontId="11" fillId="2" borderId="45" xfId="0" applyNumberFormat="1" applyFont="1" applyFill="1" applyBorder="1"/>
    <xf numFmtId="4" fontId="11" fillId="2" borderId="54" xfId="0" applyNumberFormat="1" applyFont="1" applyFill="1" applyBorder="1"/>
    <xf numFmtId="0" fontId="11" fillId="0" borderId="53" xfId="0" applyFont="1" applyBorder="1" applyAlignment="1">
      <alignment wrapText="1"/>
    </xf>
    <xf numFmtId="4" fontId="6" fillId="0" borderId="53" xfId="0" applyNumberFormat="1" applyFont="1" applyBorder="1"/>
    <xf numFmtId="0" fontId="11" fillId="0" borderId="53" xfId="0" applyFont="1" applyBorder="1"/>
    <xf numFmtId="4" fontId="3" fillId="3" borderId="52" xfId="0" applyNumberFormat="1" applyFont="1" applyFill="1" applyBorder="1"/>
    <xf numFmtId="4" fontId="11" fillId="0" borderId="42" xfId="0" applyNumberFormat="1" applyFont="1" applyBorder="1"/>
    <xf numFmtId="0" fontId="11" fillId="0" borderId="42" xfId="0" applyFont="1" applyBorder="1"/>
    <xf numFmtId="4" fontId="20" fillId="0" borderId="14" xfId="0" applyNumberFormat="1" applyFont="1" applyBorder="1"/>
    <xf numFmtId="4" fontId="20" fillId="0" borderId="16" xfId="0" applyNumberFormat="1" applyFont="1" applyBorder="1"/>
    <xf numFmtId="0" fontId="11" fillId="0" borderId="13" xfId="0" applyFont="1" applyBorder="1" applyAlignment="1">
      <alignment wrapText="1"/>
    </xf>
    <xf numFmtId="4" fontId="13" fillId="0" borderId="9" xfId="0" applyNumberFormat="1" applyFont="1" applyBorder="1"/>
    <xf numFmtId="4" fontId="20" fillId="0" borderId="30" xfId="0" applyNumberFormat="1" applyFont="1" applyBorder="1"/>
    <xf numFmtId="0" fontId="0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3" fillId="0" borderId="2" xfId="0" applyFont="1" applyBorder="1" applyAlignment="1">
      <alignment wrapText="1"/>
    </xf>
    <xf numFmtId="0" fontId="13" fillId="0" borderId="13" xfId="0" applyFont="1" applyBorder="1" applyAlignment="1">
      <alignment vertical="center" wrapText="1"/>
    </xf>
    <xf numFmtId="4" fontId="11" fillId="0" borderId="16" xfId="0" applyNumberFormat="1" applyFont="1" applyBorder="1"/>
    <xf numFmtId="0" fontId="21" fillId="0" borderId="0" xfId="0" applyFont="1"/>
    <xf numFmtId="4" fontId="21" fillId="0" borderId="0" xfId="0" applyNumberFormat="1" applyFont="1"/>
    <xf numFmtId="4" fontId="13" fillId="0" borderId="41" xfId="0" applyNumberFormat="1" applyFont="1" applyBorder="1" applyAlignment="1">
      <alignment wrapText="1"/>
    </xf>
    <xf numFmtId="4" fontId="13" fillId="0" borderId="45" xfId="0" applyNumberFormat="1" applyFont="1" applyBorder="1" applyAlignment="1">
      <alignment wrapText="1"/>
    </xf>
    <xf numFmtId="4" fontId="13" fillId="0" borderId="44" xfId="0" applyNumberFormat="1" applyFont="1" applyBorder="1"/>
    <xf numFmtId="0" fontId="13" fillId="0" borderId="42" xfId="0" applyFont="1" applyBorder="1" applyAlignment="1">
      <alignment horizontal="center"/>
    </xf>
    <xf numFmtId="0" fontId="3" fillId="0" borderId="42" xfId="0" applyFont="1" applyBorder="1" applyAlignment="1">
      <alignment wrapText="1"/>
    </xf>
    <xf numFmtId="4" fontId="3" fillId="0" borderId="42" xfId="0" applyNumberFormat="1" applyFont="1" applyBorder="1"/>
    <xf numFmtId="4" fontId="17" fillId="0" borderId="42" xfId="0" applyNumberFormat="1" applyFont="1" applyBorder="1"/>
    <xf numFmtId="4" fontId="11" fillId="0" borderId="54" xfId="0" applyNumberFormat="1" applyFont="1" applyBorder="1"/>
    <xf numFmtId="0" fontId="13" fillId="0" borderId="42" xfId="0" applyFont="1" applyBorder="1" applyAlignment="1">
      <alignment wrapText="1"/>
    </xf>
    <xf numFmtId="4" fontId="13" fillId="0" borderId="42" xfId="0" applyNumberFormat="1" applyFont="1" applyBorder="1"/>
    <xf numFmtId="0" fontId="13" fillId="0" borderId="42" xfId="0" applyFont="1" applyBorder="1"/>
    <xf numFmtId="0" fontId="3" fillId="5" borderId="34" xfId="0" applyFont="1" applyFill="1" applyBorder="1" applyAlignment="1">
      <alignment wrapText="1"/>
    </xf>
    <xf numFmtId="4" fontId="3" fillId="5" borderId="35" xfId="0" applyNumberFormat="1" applyFont="1" applyFill="1" applyBorder="1"/>
    <xf numFmtId="0" fontId="3" fillId="0" borderId="13" xfId="0" applyFont="1" applyBorder="1" applyAlignment="1"/>
    <xf numFmtId="0" fontId="22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4" fontId="0" fillId="0" borderId="0" xfId="0" applyNumberFormat="1" applyFill="1"/>
    <xf numFmtId="0" fontId="13" fillId="0" borderId="14" xfId="0" applyFont="1" applyBorder="1" applyAlignment="1">
      <alignment wrapText="1"/>
    </xf>
    <xf numFmtId="0" fontId="14" fillId="0" borderId="14" xfId="0" applyFont="1" applyBorder="1" applyAlignment="1">
      <alignment wrapText="1"/>
    </xf>
    <xf numFmtId="0" fontId="13" fillId="0" borderId="28" xfId="0" applyFont="1" applyBorder="1" applyAlignment="1">
      <alignment horizontal="center"/>
    </xf>
    <xf numFmtId="0" fontId="13" fillId="0" borderId="55" xfId="0" applyFont="1" applyBorder="1" applyAlignment="1">
      <alignment horizontal="center"/>
    </xf>
    <xf numFmtId="0" fontId="13" fillId="0" borderId="9" xfId="0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13" fillId="0" borderId="1" xfId="0" applyFont="1" applyBorder="1" applyAlignment="1">
      <alignment horizontal="left" vertical="top" wrapText="1"/>
    </xf>
    <xf numFmtId="0" fontId="24" fillId="0" borderId="14" xfId="0" applyFont="1" applyBorder="1" applyAlignment="1">
      <alignment wrapText="1"/>
    </xf>
    <xf numFmtId="4" fontId="13" fillId="0" borderId="48" xfId="0" applyNumberFormat="1" applyFont="1" applyBorder="1"/>
    <xf numFmtId="4" fontId="13" fillId="0" borderId="51" xfId="0" applyNumberFormat="1" applyFont="1" applyBorder="1"/>
    <xf numFmtId="0" fontId="13" fillId="0" borderId="14" xfId="0" applyFont="1" applyBorder="1" applyAlignment="1">
      <alignment horizontal="left" wrapText="1"/>
    </xf>
    <xf numFmtId="4" fontId="11" fillId="0" borderId="12" xfId="0" applyNumberFormat="1" applyFont="1" applyBorder="1"/>
    <xf numFmtId="0" fontId="11" fillId="0" borderId="19" xfId="0" applyFont="1" applyBorder="1" applyAlignment="1">
      <alignment horizontal="center"/>
    </xf>
    <xf numFmtId="0" fontId="11" fillId="0" borderId="19" xfId="0" applyFont="1" applyBorder="1" applyAlignment="1">
      <alignment wrapText="1"/>
    </xf>
    <xf numFmtId="4" fontId="11" fillId="0" borderId="19" xfId="0" applyNumberFormat="1" applyFont="1" applyBorder="1"/>
    <xf numFmtId="0" fontId="13" fillId="0" borderId="14" xfId="0" applyFont="1" applyBorder="1" applyAlignment="1">
      <alignment vertical="top" wrapText="1"/>
    </xf>
    <xf numFmtId="4" fontId="13" fillId="0" borderId="12" xfId="0" applyNumberFormat="1" applyFont="1" applyBorder="1"/>
    <xf numFmtId="49" fontId="7" fillId="2" borderId="7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26" fillId="0" borderId="0" xfId="1" applyFont="1" applyAlignment="1">
      <alignment horizontal="center"/>
    </xf>
    <xf numFmtId="4" fontId="11" fillId="0" borderId="0" xfId="0" applyNumberFormat="1" applyFont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4" fontId="6" fillId="0" borderId="12" xfId="0" applyNumberFormat="1" applyFont="1" applyBorder="1"/>
    <xf numFmtId="4" fontId="8" fillId="0" borderId="12" xfId="0" applyNumberFormat="1" applyFont="1" applyBorder="1"/>
    <xf numFmtId="4" fontId="6" fillId="0" borderId="0" xfId="0" applyNumberFormat="1" applyFont="1" applyBorder="1"/>
    <xf numFmtId="4" fontId="7" fillId="0" borderId="56" xfId="0" applyNumberFormat="1" applyFont="1" applyFill="1" applyBorder="1"/>
    <xf numFmtId="4" fontId="7" fillId="0" borderId="12" xfId="0" applyNumberFormat="1" applyFont="1" applyFill="1" applyBorder="1"/>
    <xf numFmtId="4" fontId="13" fillId="0" borderId="55" xfId="0" applyNumberFormat="1" applyFont="1" applyBorder="1"/>
    <xf numFmtId="49" fontId="3" fillId="2" borderId="4" xfId="0" applyNumberFormat="1" applyFont="1" applyFill="1" applyBorder="1" applyAlignment="1">
      <alignment horizontal="center"/>
    </xf>
    <xf numFmtId="4" fontId="7" fillId="6" borderId="6" xfId="0" applyNumberFormat="1" applyFont="1" applyFill="1" applyBorder="1" applyAlignment="1">
      <alignment horizontal="center"/>
    </xf>
    <xf numFmtId="49" fontId="7" fillId="6" borderId="7" xfId="0" applyNumberFormat="1" applyFont="1" applyFill="1" applyBorder="1" applyAlignment="1">
      <alignment horizontal="center"/>
    </xf>
    <xf numFmtId="4" fontId="15" fillId="0" borderId="12" xfId="0" applyNumberFormat="1" applyFont="1" applyBorder="1"/>
    <xf numFmtId="4" fontId="15" fillId="0" borderId="19" xfId="0" applyNumberFormat="1" applyFont="1" applyBorder="1"/>
    <xf numFmtId="4" fontId="3" fillId="0" borderId="19" xfId="0" applyNumberFormat="1" applyFont="1" applyBorder="1"/>
    <xf numFmtId="4" fontId="17" fillId="0" borderId="19" xfId="0" applyNumberFormat="1" applyFont="1" applyBorder="1"/>
    <xf numFmtId="4" fontId="13" fillId="0" borderId="39" xfId="0" applyNumberFormat="1" applyFont="1" applyBorder="1"/>
    <xf numFmtId="4" fontId="3" fillId="0" borderId="42" xfId="0" applyNumberFormat="1" applyFont="1" applyBorder="1" applyAlignment="1">
      <alignment wrapText="1"/>
    </xf>
    <xf numFmtId="4" fontId="3" fillId="5" borderId="52" xfId="0" applyNumberFormat="1" applyFont="1" applyFill="1" applyBorder="1"/>
    <xf numFmtId="0" fontId="13" fillId="0" borderId="14" xfId="0" applyFont="1" applyBorder="1" applyAlignment="1">
      <alignment horizontal="left" vertical="top" wrapText="1"/>
    </xf>
    <xf numFmtId="4" fontId="16" fillId="0" borderId="14" xfId="0" applyNumberFormat="1" applyFont="1" applyBorder="1"/>
    <xf numFmtId="4" fontId="11" fillId="0" borderId="33" xfId="0" applyNumberFormat="1" applyFont="1" applyBorder="1"/>
    <xf numFmtId="4" fontId="11" fillId="0" borderId="39" xfId="0" applyNumberFormat="1" applyFont="1" applyBorder="1"/>
    <xf numFmtId="0" fontId="11" fillId="6" borderId="2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0" fillId="0" borderId="0" xfId="0" applyAlignment="1"/>
    <xf numFmtId="0" fontId="8" fillId="0" borderId="0" xfId="0" applyFont="1" applyAlignment="1">
      <alignment horizontal="center"/>
    </xf>
    <xf numFmtId="0" fontId="26" fillId="0" borderId="0" xfId="1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/>
    </xf>
    <xf numFmtId="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3" fillId="3" borderId="0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4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3" fillId="0" borderId="24" xfId="0" applyFont="1" applyBorder="1" applyAlignment="1"/>
    <xf numFmtId="0" fontId="11" fillId="3" borderId="0" xfId="0" applyFont="1" applyFill="1" applyBorder="1" applyAlignment="1">
      <alignment horizontal="center"/>
    </xf>
    <xf numFmtId="0" fontId="0" fillId="0" borderId="24" xfId="0" applyBorder="1" applyAlignme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47625</xdr:rowOff>
    </xdr:from>
    <xdr:to>
      <xdr:col>1</xdr:col>
      <xdr:colOff>161925</xdr:colOff>
      <xdr:row>2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5524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1</xdr:col>
      <xdr:colOff>47625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9050"/>
          <a:ext cx="4667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aha-kunratice.c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opLeftCell="A22" zoomScaleNormal="100" workbookViewId="0">
      <selection activeCell="C97" sqref="C97:F97"/>
    </sheetView>
  </sheetViews>
  <sheetFormatPr defaultRowHeight="15.75" x14ac:dyDescent="0.25"/>
  <cols>
    <col min="1" max="1" width="7.7109375" style="110" customWidth="1"/>
    <col min="2" max="2" width="7.140625" style="110" customWidth="1"/>
    <col min="3" max="3" width="62.7109375" style="64" customWidth="1"/>
    <col min="4" max="4" width="11.5703125" style="2" customWidth="1"/>
    <col min="5" max="5" width="12.5703125" style="2" customWidth="1"/>
    <col min="6" max="6" width="15.7109375" customWidth="1"/>
    <col min="7" max="7" width="16" customWidth="1"/>
    <col min="8" max="8" width="17.7109375" style="41" customWidth="1"/>
    <col min="9" max="9" width="16" style="67" customWidth="1"/>
    <col min="10" max="10" width="13.42578125" style="8" bestFit="1" customWidth="1"/>
    <col min="11" max="11" width="11.7109375" bestFit="1" customWidth="1"/>
    <col min="14" max="14" width="13.5703125" style="2" customWidth="1"/>
  </cols>
  <sheetData>
    <row r="1" spans="1:14" ht="18" x14ac:dyDescent="0.25">
      <c r="A1" s="336" t="s">
        <v>117</v>
      </c>
      <c r="B1" s="336"/>
      <c r="C1" s="336"/>
      <c r="D1" s="336"/>
      <c r="E1" s="336"/>
      <c r="F1" s="336"/>
      <c r="G1" s="337"/>
      <c r="H1" s="337"/>
      <c r="I1" s="337"/>
    </row>
    <row r="2" spans="1:14" ht="18" x14ac:dyDescent="0.25">
      <c r="A2" s="341" t="s">
        <v>353</v>
      </c>
      <c r="B2" s="341"/>
      <c r="C2" s="341"/>
      <c r="D2" s="341"/>
      <c r="E2" s="341"/>
      <c r="F2" s="341"/>
      <c r="G2" s="341"/>
      <c r="H2" s="341"/>
      <c r="I2" s="66"/>
    </row>
    <row r="3" spans="1:14" ht="18" customHeight="1" x14ac:dyDescent="0.25">
      <c r="A3" s="86"/>
      <c r="B3" s="86"/>
      <c r="C3" s="65"/>
      <c r="D3" s="37"/>
      <c r="E3" s="37"/>
      <c r="F3" s="36"/>
      <c r="G3" s="36"/>
      <c r="H3" s="65"/>
      <c r="I3" s="66"/>
    </row>
    <row r="4" spans="1:14" x14ac:dyDescent="0.25">
      <c r="A4" s="87"/>
      <c r="B4" s="87"/>
      <c r="D4" s="4"/>
      <c r="F4" t="s">
        <v>85</v>
      </c>
    </row>
    <row r="5" spans="1:14" x14ac:dyDescent="0.25">
      <c r="A5" s="87"/>
      <c r="B5" s="87"/>
      <c r="C5" s="11"/>
      <c r="D5" s="342" t="s">
        <v>218</v>
      </c>
      <c r="E5" s="342"/>
      <c r="F5" s="342"/>
      <c r="G5" s="310"/>
      <c r="H5" s="343" t="s">
        <v>356</v>
      </c>
      <c r="I5" s="343"/>
    </row>
    <row r="6" spans="1:14" ht="16.5" thickBot="1" x14ac:dyDescent="0.3">
      <c r="A6" s="87"/>
      <c r="B6" s="87"/>
      <c r="C6" s="88"/>
      <c r="D6" s="4"/>
    </row>
    <row r="7" spans="1:14" x14ac:dyDescent="0.25">
      <c r="A7" s="89" t="s">
        <v>2</v>
      </c>
      <c r="B7" s="90" t="s">
        <v>1</v>
      </c>
      <c r="C7" s="91" t="s">
        <v>39</v>
      </c>
      <c r="D7" s="21" t="s">
        <v>0</v>
      </c>
      <c r="E7" s="22" t="s">
        <v>348</v>
      </c>
      <c r="F7" s="23" t="s">
        <v>349</v>
      </c>
      <c r="G7" s="321" t="s">
        <v>349</v>
      </c>
      <c r="H7" s="334" t="s">
        <v>355</v>
      </c>
      <c r="I7" s="334" t="s">
        <v>355</v>
      </c>
    </row>
    <row r="8" spans="1:14" ht="16.5" thickBot="1" x14ac:dyDescent="0.3">
      <c r="A8" s="92"/>
      <c r="B8" s="93"/>
      <c r="C8" s="94" t="s">
        <v>40</v>
      </c>
      <c r="D8" s="24" t="s">
        <v>7</v>
      </c>
      <c r="E8" s="25" t="s">
        <v>7</v>
      </c>
      <c r="F8" s="307" t="s">
        <v>350</v>
      </c>
      <c r="G8" s="322" t="s">
        <v>343</v>
      </c>
      <c r="H8" s="68" t="s">
        <v>7</v>
      </c>
      <c r="I8" s="69" t="s">
        <v>7</v>
      </c>
    </row>
    <row r="9" spans="1:14" s="33" customFormat="1" x14ac:dyDescent="0.25">
      <c r="A9" s="95"/>
      <c r="B9" s="96"/>
      <c r="C9" s="54" t="s">
        <v>120</v>
      </c>
      <c r="D9" s="30"/>
      <c r="E9" s="31"/>
      <c r="F9" s="30"/>
      <c r="G9" s="313"/>
      <c r="H9" s="70"/>
      <c r="I9" s="71"/>
      <c r="J9" s="32"/>
      <c r="N9" s="289"/>
    </row>
    <row r="10" spans="1:14" x14ac:dyDescent="0.25">
      <c r="A10" s="39">
        <v>1341</v>
      </c>
      <c r="B10" s="48"/>
      <c r="C10" s="42" t="s">
        <v>5</v>
      </c>
      <c r="D10" s="45">
        <v>200</v>
      </c>
      <c r="E10" s="45">
        <v>200</v>
      </c>
      <c r="F10" s="45">
        <v>162691.75</v>
      </c>
      <c r="G10" s="45">
        <v>161000</v>
      </c>
      <c r="H10" s="72">
        <v>200</v>
      </c>
      <c r="I10" s="58"/>
      <c r="K10" s="244"/>
    </row>
    <row r="11" spans="1:14" x14ac:dyDescent="0.25">
      <c r="A11" s="40">
        <v>1342</v>
      </c>
      <c r="B11" s="48"/>
      <c r="C11" s="43" t="s">
        <v>55</v>
      </c>
      <c r="D11" s="46">
        <v>150</v>
      </c>
      <c r="E11" s="46">
        <v>150</v>
      </c>
      <c r="F11" s="46">
        <v>177509.5</v>
      </c>
      <c r="G11" s="46">
        <f>177509.5+7455-29000</f>
        <v>155964.5</v>
      </c>
      <c r="H11" s="72">
        <v>150</v>
      </c>
      <c r="I11" s="58"/>
      <c r="K11" s="244"/>
    </row>
    <row r="12" spans="1:14" x14ac:dyDescent="0.25">
      <c r="A12" s="40">
        <v>1343</v>
      </c>
      <c r="B12" s="48"/>
      <c r="C12" s="43" t="s">
        <v>6</v>
      </c>
      <c r="D12" s="46">
        <v>200</v>
      </c>
      <c r="E12" s="46">
        <v>1400</v>
      </c>
      <c r="F12" s="46">
        <v>1396555.73</v>
      </c>
      <c r="G12" s="46">
        <v>1396555.73</v>
      </c>
      <c r="H12" s="72">
        <v>200</v>
      </c>
      <c r="I12" s="58"/>
    </row>
    <row r="13" spans="1:14" x14ac:dyDescent="0.25">
      <c r="A13" s="39">
        <v>1344</v>
      </c>
      <c r="B13" s="48"/>
      <c r="C13" s="85" t="s">
        <v>220</v>
      </c>
      <c r="D13" s="46">
        <v>0</v>
      </c>
      <c r="E13" s="46">
        <v>0</v>
      </c>
      <c r="F13" s="46">
        <v>200</v>
      </c>
      <c r="G13" s="46">
        <v>200</v>
      </c>
      <c r="H13" s="72">
        <v>0</v>
      </c>
      <c r="I13" s="58"/>
    </row>
    <row r="14" spans="1:14" x14ac:dyDescent="0.25">
      <c r="A14" s="40">
        <v>1345</v>
      </c>
      <c r="B14" s="48"/>
      <c r="C14" s="43" t="s">
        <v>41</v>
      </c>
      <c r="D14" s="46">
        <v>20</v>
      </c>
      <c r="E14" s="46">
        <v>20</v>
      </c>
      <c r="F14" s="46">
        <v>1194</v>
      </c>
      <c r="G14" s="46">
        <v>1194</v>
      </c>
      <c r="H14" s="72">
        <v>10</v>
      </c>
      <c r="I14" s="58"/>
      <c r="K14" s="2"/>
    </row>
    <row r="15" spans="1:14" x14ac:dyDescent="0.25">
      <c r="A15" s="40">
        <v>1361</v>
      </c>
      <c r="B15" s="48"/>
      <c r="C15" s="43" t="s">
        <v>4</v>
      </c>
      <c r="D15" s="46">
        <v>130</v>
      </c>
      <c r="E15" s="46">
        <v>130</v>
      </c>
      <c r="F15" s="46">
        <v>130020</v>
      </c>
      <c r="G15" s="46">
        <v>140000</v>
      </c>
      <c r="H15" s="72">
        <v>130</v>
      </c>
      <c r="I15" s="58"/>
    </row>
    <row r="16" spans="1:14" x14ac:dyDescent="0.25">
      <c r="A16" s="40">
        <v>1511</v>
      </c>
      <c r="B16" s="48"/>
      <c r="C16" s="43" t="s">
        <v>105</v>
      </c>
      <c r="D16" s="46">
        <v>8000</v>
      </c>
      <c r="E16" s="46">
        <v>8000</v>
      </c>
      <c r="F16" s="46">
        <v>7328441.2300000004</v>
      </c>
      <c r="G16" s="153">
        <v>8000000</v>
      </c>
      <c r="H16" s="72">
        <v>8000</v>
      </c>
      <c r="I16" s="58"/>
    </row>
    <row r="17" spans="1:9" x14ac:dyDescent="0.25">
      <c r="A17" s="40"/>
      <c r="B17" s="48"/>
      <c r="C17" s="44" t="s">
        <v>121</v>
      </c>
      <c r="D17" s="47">
        <f>SUM(D10:D16)</f>
        <v>8700</v>
      </c>
      <c r="E17" s="47">
        <f>SUM(E10:E16)</f>
        <v>9900</v>
      </c>
      <c r="F17" s="157">
        <f>SUM(F10:F16)</f>
        <v>9196612.2100000009</v>
      </c>
      <c r="G17" s="157">
        <f>SUM(G10:G16)</f>
        <v>9854914.2300000004</v>
      </c>
      <c r="H17" s="83">
        <f>SUM(H10:H16)</f>
        <v>8690</v>
      </c>
      <c r="I17" s="84">
        <f>H17</f>
        <v>8690</v>
      </c>
    </row>
    <row r="18" spans="1:9" x14ac:dyDescent="0.25">
      <c r="A18" s="39"/>
      <c r="B18" s="48"/>
      <c r="C18" s="42"/>
      <c r="D18" s="16"/>
      <c r="E18" s="14"/>
      <c r="F18" s="46"/>
      <c r="G18" s="314"/>
      <c r="H18" s="72"/>
      <c r="I18" s="58"/>
    </row>
    <row r="19" spans="1:9" x14ac:dyDescent="0.25">
      <c r="A19" s="39"/>
      <c r="B19" s="48"/>
      <c r="C19" s="53" t="s">
        <v>122</v>
      </c>
      <c r="D19" s="16"/>
      <c r="E19" s="16"/>
      <c r="F19" s="46"/>
      <c r="G19" s="314"/>
      <c r="H19" s="72"/>
      <c r="I19" s="58"/>
    </row>
    <row r="20" spans="1:9" x14ac:dyDescent="0.25">
      <c r="A20" s="39">
        <v>2111</v>
      </c>
      <c r="B20" s="62">
        <v>3314</v>
      </c>
      <c r="C20" s="85" t="s">
        <v>79</v>
      </c>
      <c r="D20" s="45">
        <v>10</v>
      </c>
      <c r="E20" s="45">
        <v>10</v>
      </c>
      <c r="F20" s="45">
        <v>9750</v>
      </c>
      <c r="G20" s="45">
        <v>9750</v>
      </c>
      <c r="H20" s="72">
        <v>10</v>
      </c>
      <c r="I20" s="58"/>
    </row>
    <row r="21" spans="1:9" x14ac:dyDescent="0.25">
      <c r="A21" s="40">
        <v>2111</v>
      </c>
      <c r="B21" s="50">
        <v>3319</v>
      </c>
      <c r="C21" s="290" t="s">
        <v>167</v>
      </c>
      <c r="D21" s="46">
        <v>18</v>
      </c>
      <c r="E21" s="46">
        <v>18</v>
      </c>
      <c r="F21" s="46">
        <v>0</v>
      </c>
      <c r="G21" s="46">
        <v>0</v>
      </c>
      <c r="H21" s="72">
        <v>0</v>
      </c>
      <c r="I21" s="58"/>
    </row>
    <row r="22" spans="1:9" x14ac:dyDescent="0.25">
      <c r="A22" s="40">
        <v>2111</v>
      </c>
      <c r="B22" s="50">
        <v>3632</v>
      </c>
      <c r="C22" s="290" t="s">
        <v>80</v>
      </c>
      <c r="D22" s="46">
        <v>10</v>
      </c>
      <c r="E22" s="46">
        <v>10</v>
      </c>
      <c r="F22" s="46">
        <v>14925</v>
      </c>
      <c r="G22" s="46">
        <v>14925</v>
      </c>
      <c r="H22" s="72">
        <v>10</v>
      </c>
      <c r="I22" s="58"/>
    </row>
    <row r="23" spans="1:9" ht="30.75" x14ac:dyDescent="0.25">
      <c r="A23" s="40">
        <v>2111</v>
      </c>
      <c r="B23" s="50">
        <v>6171</v>
      </c>
      <c r="C23" s="290" t="s">
        <v>139</v>
      </c>
      <c r="D23" s="46">
        <v>5</v>
      </c>
      <c r="E23" s="46">
        <v>5</v>
      </c>
      <c r="F23" s="46">
        <v>0</v>
      </c>
      <c r="G23" s="46">
        <v>0</v>
      </c>
      <c r="H23" s="72">
        <v>2</v>
      </c>
      <c r="I23" s="58"/>
    </row>
    <row r="24" spans="1:9" x14ac:dyDescent="0.25">
      <c r="A24" s="40">
        <v>2112</v>
      </c>
      <c r="B24" s="50">
        <v>3319</v>
      </c>
      <c r="C24" s="290" t="s">
        <v>91</v>
      </c>
      <c r="D24" s="46">
        <v>2</v>
      </c>
      <c r="E24" s="46">
        <v>2</v>
      </c>
      <c r="F24" s="46">
        <v>1794</v>
      </c>
      <c r="G24" s="46">
        <v>1794</v>
      </c>
      <c r="H24" s="72">
        <v>2</v>
      </c>
      <c r="I24" s="58"/>
    </row>
    <row r="25" spans="1:9" x14ac:dyDescent="0.25">
      <c r="A25" s="40">
        <v>2141</v>
      </c>
      <c r="B25" s="50">
        <v>6310</v>
      </c>
      <c r="C25" s="290" t="s">
        <v>42</v>
      </c>
      <c r="D25" s="46">
        <v>6</v>
      </c>
      <c r="E25" s="46">
        <v>6</v>
      </c>
      <c r="F25" s="46">
        <v>8443.3799999999992</v>
      </c>
      <c r="G25" s="46">
        <v>9000</v>
      </c>
      <c r="H25" s="72">
        <v>8</v>
      </c>
      <c r="I25" s="58"/>
    </row>
    <row r="26" spans="1:9" x14ac:dyDescent="0.25">
      <c r="A26" s="40">
        <v>2212</v>
      </c>
      <c r="B26" s="50">
        <v>6171</v>
      </c>
      <c r="C26" s="290" t="s">
        <v>221</v>
      </c>
      <c r="D26" s="46">
        <v>0</v>
      </c>
      <c r="E26" s="46">
        <v>110</v>
      </c>
      <c r="F26" s="46">
        <v>110000</v>
      </c>
      <c r="G26" s="46">
        <v>110000</v>
      </c>
      <c r="H26" s="72">
        <v>0</v>
      </c>
      <c r="I26" s="58"/>
    </row>
    <row r="27" spans="1:9" x14ac:dyDescent="0.25">
      <c r="A27" s="40">
        <v>2321</v>
      </c>
      <c r="B27" s="50">
        <v>2212</v>
      </c>
      <c r="C27" s="290" t="s">
        <v>222</v>
      </c>
      <c r="D27" s="46">
        <v>0</v>
      </c>
      <c r="E27" s="46">
        <v>50</v>
      </c>
      <c r="F27" s="46">
        <v>50000</v>
      </c>
      <c r="G27" s="46">
        <v>50000</v>
      </c>
      <c r="H27" s="72">
        <v>0</v>
      </c>
      <c r="I27" s="58"/>
    </row>
    <row r="28" spans="1:9" x14ac:dyDescent="0.25">
      <c r="A28" s="40">
        <v>2322</v>
      </c>
      <c r="B28" s="50">
        <v>4357</v>
      </c>
      <c r="C28" s="290" t="s">
        <v>223</v>
      </c>
      <c r="D28" s="46">
        <v>0</v>
      </c>
      <c r="E28" s="46">
        <v>24.7</v>
      </c>
      <c r="F28" s="46">
        <v>24741</v>
      </c>
      <c r="G28" s="46">
        <v>24741</v>
      </c>
      <c r="H28" s="72">
        <v>0</v>
      </c>
      <c r="I28" s="58"/>
    </row>
    <row r="29" spans="1:9" x14ac:dyDescent="0.25">
      <c r="A29" s="40">
        <v>2322</v>
      </c>
      <c r="B29" s="50">
        <v>6171</v>
      </c>
      <c r="C29" s="290" t="s">
        <v>223</v>
      </c>
      <c r="D29" s="46">
        <v>0</v>
      </c>
      <c r="E29" s="46">
        <v>9.3000000000000007</v>
      </c>
      <c r="F29" s="46">
        <v>9279</v>
      </c>
      <c r="G29" s="46">
        <v>9279</v>
      </c>
      <c r="H29" s="72">
        <v>0</v>
      </c>
      <c r="I29" s="58"/>
    </row>
    <row r="30" spans="1:9" x14ac:dyDescent="0.25">
      <c r="A30" s="40">
        <v>2324</v>
      </c>
      <c r="B30" s="50">
        <v>6171</v>
      </c>
      <c r="C30" s="290" t="s">
        <v>69</v>
      </c>
      <c r="D30" s="46">
        <v>150</v>
      </c>
      <c r="E30" s="46">
        <v>150</v>
      </c>
      <c r="F30" s="46">
        <v>205662</v>
      </c>
      <c r="G30" s="46">
        <v>205662</v>
      </c>
      <c r="H30" s="72">
        <v>150</v>
      </c>
      <c r="I30" s="58"/>
    </row>
    <row r="31" spans="1:9" x14ac:dyDescent="0.25">
      <c r="A31" s="40"/>
      <c r="B31" s="49"/>
      <c r="C31" s="44" t="s">
        <v>123</v>
      </c>
      <c r="D31" s="47">
        <f>SUM(D20:D30)</f>
        <v>201</v>
      </c>
      <c r="E31" s="47">
        <f>SUM(E20:E30)</f>
        <v>395</v>
      </c>
      <c r="F31" s="47">
        <f>SUM(F20:F30)</f>
        <v>434594.38</v>
      </c>
      <c r="G31" s="47">
        <f>SUM(G20:G30)</f>
        <v>435151</v>
      </c>
      <c r="H31" s="83">
        <f>SUM(H20:H30)</f>
        <v>182</v>
      </c>
      <c r="I31" s="84">
        <f>H31</f>
        <v>182</v>
      </c>
    </row>
    <row r="32" spans="1:9" x14ac:dyDescent="0.25">
      <c r="A32" s="39"/>
      <c r="B32" s="48"/>
      <c r="C32" s="53"/>
      <c r="D32" s="15"/>
      <c r="E32" s="17"/>
      <c r="F32" s="46"/>
      <c r="G32" s="315"/>
      <c r="H32" s="57"/>
      <c r="I32" s="58"/>
    </row>
    <row r="33" spans="1:14" s="41" customFormat="1" x14ac:dyDescent="0.25">
      <c r="A33" s="39"/>
      <c r="B33" s="48"/>
      <c r="C33" s="55" t="s">
        <v>125</v>
      </c>
      <c r="D33" s="56"/>
      <c r="E33" s="56"/>
      <c r="F33" s="46"/>
      <c r="G33" s="301"/>
      <c r="H33" s="57"/>
      <c r="I33" s="58"/>
      <c r="J33" s="59"/>
      <c r="N33" s="59"/>
    </row>
    <row r="34" spans="1:14" ht="30.75" x14ac:dyDescent="0.25">
      <c r="A34" s="39">
        <v>4131</v>
      </c>
      <c r="B34" s="62">
        <v>6330</v>
      </c>
      <c r="C34" s="85" t="s">
        <v>203</v>
      </c>
      <c r="D34" s="45">
        <v>28700</v>
      </c>
      <c r="E34" s="45">
        <v>28700</v>
      </c>
      <c r="F34" s="45">
        <v>0</v>
      </c>
      <c r="G34" s="45">
        <v>0</v>
      </c>
      <c r="H34" s="72">
        <v>10000</v>
      </c>
      <c r="I34" s="58"/>
    </row>
    <row r="35" spans="1:14" ht="30.75" x14ac:dyDescent="0.25">
      <c r="A35" s="40">
        <v>4131</v>
      </c>
      <c r="B35" s="50">
        <v>6330</v>
      </c>
      <c r="C35" s="290" t="s">
        <v>168</v>
      </c>
      <c r="D35" s="46">
        <v>0</v>
      </c>
      <c r="E35" s="46">
        <v>1300</v>
      </c>
      <c r="F35" s="46">
        <v>1300000</v>
      </c>
      <c r="G35" s="46">
        <v>1300000</v>
      </c>
      <c r="H35" s="72">
        <v>0</v>
      </c>
      <c r="I35" s="58"/>
    </row>
    <row r="36" spans="1:14" ht="30.75" x14ac:dyDescent="0.25">
      <c r="A36" s="40">
        <v>4133</v>
      </c>
      <c r="B36" s="50">
        <v>6330</v>
      </c>
      <c r="C36" s="290" t="s">
        <v>74</v>
      </c>
      <c r="D36" s="46">
        <v>580</v>
      </c>
      <c r="E36" s="46">
        <v>580</v>
      </c>
      <c r="F36" s="46">
        <v>0</v>
      </c>
      <c r="G36" s="46">
        <v>0</v>
      </c>
      <c r="H36" s="72">
        <v>582</v>
      </c>
      <c r="I36" s="73"/>
    </row>
    <row r="37" spans="1:14" x14ac:dyDescent="0.25">
      <c r="A37" s="40">
        <v>4134</v>
      </c>
      <c r="B37" s="50">
        <v>6330</v>
      </c>
      <c r="C37" s="290" t="s">
        <v>43</v>
      </c>
      <c r="D37" s="46"/>
      <c r="E37" s="46"/>
      <c r="F37" s="46"/>
      <c r="G37" s="46"/>
      <c r="H37" s="72"/>
      <c r="I37" s="58"/>
    </row>
    <row r="38" spans="1:14" x14ac:dyDescent="0.25">
      <c r="A38" s="60"/>
      <c r="B38" s="97"/>
      <c r="C38" s="291" t="s">
        <v>131</v>
      </c>
      <c r="D38" s="46">
        <v>225</v>
      </c>
      <c r="E38" s="46">
        <v>244</v>
      </c>
      <c r="F38" s="46">
        <v>191075</v>
      </c>
      <c r="G38" s="46">
        <f>191075+73000</f>
        <v>264075</v>
      </c>
      <c r="H38" s="72">
        <v>300</v>
      </c>
      <c r="I38" s="58"/>
    </row>
    <row r="39" spans="1:14" x14ac:dyDescent="0.25">
      <c r="A39" s="60"/>
      <c r="B39" s="97"/>
      <c r="C39" s="291" t="s">
        <v>95</v>
      </c>
      <c r="D39" s="46">
        <v>0</v>
      </c>
      <c r="E39" s="46">
        <v>1300</v>
      </c>
      <c r="F39" s="46">
        <v>1300000</v>
      </c>
      <c r="G39" s="46">
        <v>1300000</v>
      </c>
      <c r="H39" s="72">
        <v>0</v>
      </c>
      <c r="I39" s="58"/>
    </row>
    <row r="40" spans="1:14" x14ac:dyDescent="0.25">
      <c r="A40" s="40">
        <v>4139</v>
      </c>
      <c r="B40" s="50">
        <v>6330</v>
      </c>
      <c r="C40" s="290" t="s">
        <v>132</v>
      </c>
      <c r="D40" s="46">
        <v>326</v>
      </c>
      <c r="E40" s="46">
        <v>326</v>
      </c>
      <c r="F40" s="46">
        <v>215456</v>
      </c>
      <c r="G40" s="46">
        <f>215456+48500</f>
        <v>263956</v>
      </c>
      <c r="H40" s="72">
        <v>365</v>
      </c>
      <c r="I40" s="58"/>
    </row>
    <row r="41" spans="1:14" ht="30.75" x14ac:dyDescent="0.25">
      <c r="A41" s="40">
        <v>4137</v>
      </c>
      <c r="B41" s="50">
        <v>6330</v>
      </c>
      <c r="C41" s="290" t="s">
        <v>133</v>
      </c>
      <c r="D41" s="46">
        <v>249</v>
      </c>
      <c r="E41" s="46">
        <v>249</v>
      </c>
      <c r="F41" s="46">
        <v>231000</v>
      </c>
      <c r="G41" s="46">
        <v>249000</v>
      </c>
      <c r="H41" s="72">
        <v>266</v>
      </c>
      <c r="I41" s="58"/>
    </row>
    <row r="42" spans="1:14" ht="30.75" x14ac:dyDescent="0.25">
      <c r="A42" s="40">
        <v>4137</v>
      </c>
      <c r="B42" s="50">
        <v>6330</v>
      </c>
      <c r="C42" s="290" t="s">
        <v>134</v>
      </c>
      <c r="D42" s="46">
        <v>34999</v>
      </c>
      <c r="E42" s="46">
        <v>34999</v>
      </c>
      <c r="F42" s="46">
        <v>32087000</v>
      </c>
      <c r="G42" s="46">
        <v>34999000</v>
      </c>
      <c r="H42" s="72">
        <v>39741</v>
      </c>
      <c r="I42" s="58"/>
      <c r="K42" s="2"/>
    </row>
    <row r="43" spans="1:14" ht="30.75" x14ac:dyDescent="0.25">
      <c r="A43" s="40"/>
      <c r="B43" s="50"/>
      <c r="C43" s="43" t="s">
        <v>194</v>
      </c>
      <c r="D43" s="45"/>
      <c r="E43" s="223"/>
      <c r="F43" s="223"/>
      <c r="G43" s="223"/>
      <c r="H43" s="72"/>
      <c r="I43" s="58"/>
    </row>
    <row r="44" spans="1:14" x14ac:dyDescent="0.25">
      <c r="A44" s="39">
        <v>4137</v>
      </c>
      <c r="B44" s="62">
        <v>6330</v>
      </c>
      <c r="C44" s="85" t="s">
        <v>195</v>
      </c>
      <c r="D44" s="45">
        <v>0</v>
      </c>
      <c r="E44" s="45">
        <v>14.5</v>
      </c>
      <c r="F44" s="45">
        <v>14500</v>
      </c>
      <c r="G44" s="45">
        <v>14500</v>
      </c>
      <c r="H44" s="72">
        <v>0</v>
      </c>
      <c r="I44" s="58"/>
    </row>
    <row r="45" spans="1:14" ht="30.75" x14ac:dyDescent="0.25">
      <c r="A45" s="40">
        <v>4137</v>
      </c>
      <c r="B45" s="50">
        <v>6330</v>
      </c>
      <c r="C45" s="290" t="s">
        <v>224</v>
      </c>
      <c r="D45" s="46">
        <v>0</v>
      </c>
      <c r="E45" s="46">
        <v>157</v>
      </c>
      <c r="F45" s="46">
        <v>157000</v>
      </c>
      <c r="G45" s="46">
        <v>157000</v>
      </c>
      <c r="H45" s="72">
        <v>0</v>
      </c>
      <c r="I45" s="58"/>
    </row>
    <row r="46" spans="1:14" ht="30.75" x14ac:dyDescent="0.25">
      <c r="A46" s="40">
        <v>4137</v>
      </c>
      <c r="B46" s="50">
        <v>6330</v>
      </c>
      <c r="C46" s="290" t="s">
        <v>225</v>
      </c>
      <c r="D46" s="46">
        <v>0</v>
      </c>
      <c r="E46" s="46">
        <v>661</v>
      </c>
      <c r="F46" s="46">
        <v>661000</v>
      </c>
      <c r="G46" s="46">
        <v>661000</v>
      </c>
      <c r="H46" s="72">
        <v>0</v>
      </c>
      <c r="I46" s="58"/>
    </row>
    <row r="47" spans="1:14" x14ac:dyDescent="0.25">
      <c r="A47" s="40">
        <v>4137</v>
      </c>
      <c r="B47" s="50">
        <v>6330</v>
      </c>
      <c r="C47" s="290" t="s">
        <v>196</v>
      </c>
      <c r="D47" s="46">
        <v>0</v>
      </c>
      <c r="E47" s="46">
        <v>22.5</v>
      </c>
      <c r="F47" s="46">
        <v>22500</v>
      </c>
      <c r="G47" s="46">
        <v>22500</v>
      </c>
      <c r="H47" s="72">
        <v>0</v>
      </c>
      <c r="I47" s="58"/>
    </row>
    <row r="48" spans="1:14" ht="30.75" x14ac:dyDescent="0.25">
      <c r="A48" s="40">
        <v>4137</v>
      </c>
      <c r="B48" s="50">
        <v>6330</v>
      </c>
      <c r="C48" s="290" t="s">
        <v>226</v>
      </c>
      <c r="D48" s="46">
        <v>0</v>
      </c>
      <c r="E48" s="46">
        <v>216.6</v>
      </c>
      <c r="F48" s="46">
        <v>216600</v>
      </c>
      <c r="G48" s="46">
        <v>216600</v>
      </c>
      <c r="H48" s="72">
        <v>0</v>
      </c>
      <c r="I48" s="58"/>
    </row>
    <row r="49" spans="1:14" x14ac:dyDescent="0.25">
      <c r="A49" s="40">
        <v>4137</v>
      </c>
      <c r="B49" s="50">
        <v>6330</v>
      </c>
      <c r="C49" s="290" t="s">
        <v>227</v>
      </c>
      <c r="D49" s="46">
        <v>0</v>
      </c>
      <c r="E49" s="46">
        <v>24.1</v>
      </c>
      <c r="F49" s="46">
        <v>24100</v>
      </c>
      <c r="G49" s="46">
        <v>24100</v>
      </c>
      <c r="H49" s="72">
        <v>0</v>
      </c>
      <c r="I49" s="58"/>
    </row>
    <row r="50" spans="1:14" x14ac:dyDescent="0.25">
      <c r="A50" s="40">
        <v>4137</v>
      </c>
      <c r="B50" s="50">
        <v>6330</v>
      </c>
      <c r="C50" s="290" t="s">
        <v>198</v>
      </c>
      <c r="D50" s="46">
        <v>0</v>
      </c>
      <c r="E50" s="46">
        <v>503.2</v>
      </c>
      <c r="F50" s="46">
        <v>503200</v>
      </c>
      <c r="G50" s="46">
        <v>503200</v>
      </c>
      <c r="H50" s="72">
        <v>0</v>
      </c>
      <c r="I50" s="58"/>
    </row>
    <row r="51" spans="1:14" x14ac:dyDescent="0.25">
      <c r="A51" s="40">
        <v>4137</v>
      </c>
      <c r="B51" s="50">
        <v>6330</v>
      </c>
      <c r="C51" s="290" t="s">
        <v>197</v>
      </c>
      <c r="D51" s="46">
        <v>0</v>
      </c>
      <c r="E51" s="46">
        <v>550</v>
      </c>
      <c r="F51" s="46">
        <v>550000</v>
      </c>
      <c r="G51" s="46">
        <v>550000</v>
      </c>
      <c r="H51" s="72">
        <v>0</v>
      </c>
      <c r="I51" s="58"/>
    </row>
    <row r="52" spans="1:14" x14ac:dyDescent="0.25">
      <c r="A52" s="40">
        <v>4137</v>
      </c>
      <c r="B52" s="50">
        <v>6330</v>
      </c>
      <c r="C52" s="290" t="s">
        <v>228</v>
      </c>
      <c r="D52" s="46">
        <v>0</v>
      </c>
      <c r="E52" s="46">
        <v>1593.3</v>
      </c>
      <c r="F52" s="46">
        <v>1593250.47</v>
      </c>
      <c r="G52" s="46">
        <v>1593250.47</v>
      </c>
      <c r="H52" s="72">
        <v>0</v>
      </c>
      <c r="I52" s="58"/>
    </row>
    <row r="53" spans="1:14" ht="30.75" x14ac:dyDescent="0.25">
      <c r="A53" s="40">
        <v>4137</v>
      </c>
      <c r="B53" s="50">
        <v>6330</v>
      </c>
      <c r="C53" s="290" t="s">
        <v>229</v>
      </c>
      <c r="D53" s="46">
        <v>0</v>
      </c>
      <c r="E53" s="46">
        <v>100</v>
      </c>
      <c r="F53" s="46">
        <v>100000</v>
      </c>
      <c r="G53" s="46">
        <v>100000</v>
      </c>
      <c r="H53" s="72">
        <v>0</v>
      </c>
      <c r="I53" s="58"/>
    </row>
    <row r="54" spans="1:14" ht="30.75" x14ac:dyDescent="0.25">
      <c r="A54" s="40">
        <v>4137</v>
      </c>
      <c r="B54" s="50">
        <v>6330</v>
      </c>
      <c r="C54" s="290" t="s">
        <v>230</v>
      </c>
      <c r="D54" s="46">
        <v>0</v>
      </c>
      <c r="E54" s="46">
        <v>1020</v>
      </c>
      <c r="F54" s="46">
        <v>1020000</v>
      </c>
      <c r="G54" s="46">
        <v>1020000</v>
      </c>
      <c r="H54" s="72">
        <v>0</v>
      </c>
      <c r="I54" s="58"/>
    </row>
    <row r="55" spans="1:14" s="8" customFormat="1" x14ac:dyDescent="0.25">
      <c r="A55" s="40">
        <v>4137</v>
      </c>
      <c r="B55" s="50">
        <v>6330</v>
      </c>
      <c r="C55" s="290" t="s">
        <v>231</v>
      </c>
      <c r="D55" s="46">
        <v>0</v>
      </c>
      <c r="E55" s="46">
        <v>17</v>
      </c>
      <c r="F55" s="46">
        <v>17000</v>
      </c>
      <c r="G55" s="46">
        <v>17000</v>
      </c>
      <c r="H55" s="72">
        <v>0</v>
      </c>
      <c r="I55" s="58"/>
      <c r="K55"/>
      <c r="L55"/>
      <c r="M55"/>
      <c r="N55" s="2"/>
    </row>
    <row r="56" spans="1:14" s="8" customFormat="1" x14ac:dyDescent="0.25">
      <c r="A56" s="40">
        <v>4137</v>
      </c>
      <c r="B56" s="50">
        <v>6330</v>
      </c>
      <c r="C56" s="290" t="s">
        <v>232</v>
      </c>
      <c r="D56" s="46">
        <v>0</v>
      </c>
      <c r="E56" s="46">
        <v>197.4</v>
      </c>
      <c r="F56" s="46">
        <v>197400</v>
      </c>
      <c r="G56" s="46">
        <v>197400</v>
      </c>
      <c r="H56" s="72">
        <v>0</v>
      </c>
      <c r="I56" s="58"/>
      <c r="K56"/>
      <c r="L56"/>
      <c r="M56"/>
      <c r="N56" s="2"/>
    </row>
    <row r="57" spans="1:14" s="8" customFormat="1" ht="30.75" x14ac:dyDescent="0.25">
      <c r="A57" s="40">
        <v>4137</v>
      </c>
      <c r="B57" s="50">
        <v>6330</v>
      </c>
      <c r="C57" s="43" t="s">
        <v>233</v>
      </c>
      <c r="D57" s="46">
        <v>0</v>
      </c>
      <c r="E57" s="46">
        <v>1003.3</v>
      </c>
      <c r="F57" s="46">
        <v>694545.5</v>
      </c>
      <c r="G57" s="46">
        <v>694545.5</v>
      </c>
      <c r="H57" s="72">
        <v>0</v>
      </c>
      <c r="I57" s="58"/>
      <c r="K57"/>
      <c r="L57"/>
      <c r="M57"/>
      <c r="N57" s="2"/>
    </row>
    <row r="58" spans="1:14" s="8" customFormat="1" ht="30.75" x14ac:dyDescent="0.25">
      <c r="A58" s="40">
        <v>4137</v>
      </c>
      <c r="B58" s="50">
        <v>6330</v>
      </c>
      <c r="C58" s="43" t="s">
        <v>234</v>
      </c>
      <c r="D58" s="46">
        <v>0</v>
      </c>
      <c r="E58" s="46">
        <v>1003.3</v>
      </c>
      <c r="F58" s="46">
        <v>694545.5</v>
      </c>
      <c r="G58" s="46">
        <v>694545.5</v>
      </c>
      <c r="H58" s="72">
        <v>0</v>
      </c>
      <c r="I58" s="58"/>
      <c r="K58"/>
      <c r="L58"/>
      <c r="M58"/>
      <c r="N58" s="2"/>
    </row>
    <row r="59" spans="1:14" s="8" customFormat="1" x14ac:dyDescent="0.25">
      <c r="A59" s="40">
        <v>4137</v>
      </c>
      <c r="B59" s="50">
        <v>6330</v>
      </c>
      <c r="C59" s="43" t="s">
        <v>235</v>
      </c>
      <c r="D59" s="46">
        <v>0</v>
      </c>
      <c r="E59" s="46">
        <v>414.2</v>
      </c>
      <c r="F59" s="46">
        <v>414198</v>
      </c>
      <c r="G59" s="46">
        <v>414198</v>
      </c>
      <c r="H59" s="72">
        <v>0</v>
      </c>
      <c r="I59" s="58"/>
      <c r="K59"/>
      <c r="L59"/>
      <c r="M59"/>
      <c r="N59" s="2"/>
    </row>
    <row r="60" spans="1:14" s="8" customFormat="1" x14ac:dyDescent="0.25">
      <c r="A60" s="40">
        <v>4137</v>
      </c>
      <c r="B60" s="50">
        <v>6330</v>
      </c>
      <c r="C60" s="43" t="s">
        <v>236</v>
      </c>
      <c r="D60" s="46">
        <v>0</v>
      </c>
      <c r="E60" s="46">
        <v>45.8</v>
      </c>
      <c r="F60" s="46">
        <v>45835</v>
      </c>
      <c r="G60" s="46">
        <v>45835</v>
      </c>
      <c r="H60" s="72">
        <v>0</v>
      </c>
      <c r="I60" s="58"/>
      <c r="K60"/>
      <c r="L60"/>
      <c r="M60"/>
      <c r="N60" s="2"/>
    </row>
    <row r="61" spans="1:14" s="8" customFormat="1" ht="30.75" x14ac:dyDescent="0.25">
      <c r="A61" s="40"/>
      <c r="B61" s="50"/>
      <c r="C61" s="43" t="s">
        <v>199</v>
      </c>
      <c r="D61" s="46"/>
      <c r="E61" s="153"/>
      <c r="F61" s="153"/>
      <c r="G61" s="153"/>
      <c r="H61" s="72"/>
      <c r="I61" s="58"/>
      <c r="K61"/>
      <c r="L61"/>
      <c r="M61"/>
      <c r="N61" s="2"/>
    </row>
    <row r="62" spans="1:14" s="8" customFormat="1" ht="45.75" x14ac:dyDescent="0.25">
      <c r="A62" s="39">
        <v>4137</v>
      </c>
      <c r="B62" s="62">
        <v>6330</v>
      </c>
      <c r="C62" s="85" t="s">
        <v>237</v>
      </c>
      <c r="D62" s="45">
        <v>0</v>
      </c>
      <c r="E62" s="45">
        <v>3000</v>
      </c>
      <c r="F62" s="45">
        <v>3000000</v>
      </c>
      <c r="G62" s="45">
        <v>3000000</v>
      </c>
      <c r="H62" s="72">
        <v>0</v>
      </c>
      <c r="I62" s="58"/>
      <c r="K62"/>
      <c r="L62"/>
      <c r="M62"/>
      <c r="N62" s="2"/>
    </row>
    <row r="63" spans="1:14" s="8" customFormat="1" ht="30.75" x14ac:dyDescent="0.25">
      <c r="A63" s="40">
        <v>4137</v>
      </c>
      <c r="B63" s="50">
        <v>6330</v>
      </c>
      <c r="C63" s="290" t="s">
        <v>238</v>
      </c>
      <c r="D63" s="46">
        <v>0</v>
      </c>
      <c r="E63" s="46">
        <v>20000</v>
      </c>
      <c r="F63" s="46">
        <v>20000000</v>
      </c>
      <c r="G63" s="46">
        <v>20000000</v>
      </c>
      <c r="H63" s="72">
        <v>0</v>
      </c>
      <c r="I63" s="58"/>
      <c r="K63" s="244"/>
      <c r="L63"/>
      <c r="M63"/>
      <c r="N63" s="2"/>
    </row>
    <row r="64" spans="1:14" s="8" customFormat="1" ht="30.75" x14ac:dyDescent="0.25">
      <c r="A64" s="40">
        <v>4137</v>
      </c>
      <c r="B64" s="50">
        <v>6330</v>
      </c>
      <c r="C64" s="290" t="s">
        <v>239</v>
      </c>
      <c r="D64" s="46">
        <v>0</v>
      </c>
      <c r="E64" s="46">
        <v>600</v>
      </c>
      <c r="F64" s="46">
        <v>600000</v>
      </c>
      <c r="G64" s="46">
        <v>600000</v>
      </c>
      <c r="H64" s="72">
        <v>0</v>
      </c>
      <c r="I64" s="58"/>
      <c r="K64" s="244"/>
      <c r="L64"/>
      <c r="M64"/>
      <c r="N64" s="2"/>
    </row>
    <row r="65" spans="1:14" s="8" customFormat="1" ht="30.75" x14ac:dyDescent="0.25">
      <c r="A65" s="40">
        <v>4137</v>
      </c>
      <c r="B65" s="50">
        <v>6330</v>
      </c>
      <c r="C65" s="290" t="s">
        <v>212</v>
      </c>
      <c r="D65" s="46">
        <v>0</v>
      </c>
      <c r="E65" s="46">
        <v>9276.2000000000007</v>
      </c>
      <c r="F65" s="46">
        <v>9276235</v>
      </c>
      <c r="G65" s="46">
        <v>9276235</v>
      </c>
      <c r="H65" s="72">
        <v>0</v>
      </c>
      <c r="I65" s="58"/>
      <c r="K65" s="244"/>
      <c r="L65"/>
      <c r="M65"/>
      <c r="N65" s="2"/>
    </row>
    <row r="66" spans="1:14" s="8" customFormat="1" x14ac:dyDescent="0.25">
      <c r="A66" s="40"/>
      <c r="B66" s="48"/>
      <c r="C66" s="286" t="s">
        <v>135</v>
      </c>
      <c r="D66" s="47">
        <f>SUM(D34:D65)</f>
        <v>65079</v>
      </c>
      <c r="E66" s="47">
        <f>SUM(E34:E65)</f>
        <v>108117.40000000001</v>
      </c>
      <c r="F66" s="47">
        <f>SUM(F34:F65)</f>
        <v>75126440.469999999</v>
      </c>
      <c r="G66" s="47">
        <f>SUM(G34:G65)</f>
        <v>78177940.469999999</v>
      </c>
      <c r="H66" s="115">
        <f>SUM(H34:H65)</f>
        <v>51254</v>
      </c>
      <c r="I66" s="116">
        <f>H66</f>
        <v>51254</v>
      </c>
      <c r="K66" s="244"/>
      <c r="L66"/>
      <c r="M66"/>
      <c r="N66" s="2"/>
    </row>
    <row r="67" spans="1:14" s="8" customFormat="1" ht="16.5" thickBot="1" x14ac:dyDescent="0.3">
      <c r="A67" s="98"/>
      <c r="B67" s="61"/>
      <c r="C67" s="64"/>
      <c r="D67" s="18"/>
      <c r="E67" s="26"/>
      <c r="F67" s="19"/>
      <c r="G67" s="316"/>
      <c r="H67" s="76"/>
      <c r="I67" s="77"/>
      <c r="K67" s="244"/>
      <c r="L67"/>
      <c r="M67"/>
      <c r="N67" s="2"/>
    </row>
    <row r="68" spans="1:14" ht="32.25" thickBot="1" x14ac:dyDescent="0.3">
      <c r="A68" s="99"/>
      <c r="B68" s="100"/>
      <c r="C68" s="123" t="s">
        <v>128</v>
      </c>
      <c r="D68" s="127">
        <f>D17+D31+D66</f>
        <v>73980</v>
      </c>
      <c r="E68" s="127">
        <f>E17+E31+E66</f>
        <v>118412.40000000001</v>
      </c>
      <c r="F68" s="127">
        <f>F17+F31+F66</f>
        <v>84757647.060000002</v>
      </c>
      <c r="G68" s="127">
        <f>G17+G31+G66</f>
        <v>88468005.700000003</v>
      </c>
      <c r="H68" s="128">
        <f>H17+H31+H66</f>
        <v>60126</v>
      </c>
      <c r="I68" s="129">
        <f>SUM(I9:I66)</f>
        <v>60126</v>
      </c>
      <c r="K68" s="244"/>
    </row>
    <row r="69" spans="1:14" s="33" customFormat="1" x14ac:dyDescent="0.25">
      <c r="A69" s="101"/>
      <c r="B69" s="102"/>
      <c r="C69" s="103"/>
      <c r="D69" s="34"/>
      <c r="E69" s="34"/>
      <c r="F69" s="46"/>
      <c r="G69" s="317"/>
      <c r="H69" s="78"/>
      <c r="I69" s="79"/>
      <c r="J69" s="32"/>
      <c r="K69" s="244"/>
      <c r="N69" s="289"/>
    </row>
    <row r="70" spans="1:14" s="33" customFormat="1" x14ac:dyDescent="0.25">
      <c r="A70" s="104"/>
      <c r="B70" s="105"/>
      <c r="C70" s="106" t="s">
        <v>124</v>
      </c>
      <c r="D70" s="35"/>
      <c r="E70" s="35"/>
      <c r="F70" s="46"/>
      <c r="G70" s="318"/>
      <c r="H70" s="80"/>
      <c r="I70" s="81"/>
      <c r="J70" s="32"/>
      <c r="K70" s="244"/>
      <c r="N70" s="289"/>
    </row>
    <row r="71" spans="1:14" s="33" customFormat="1" ht="30.75" x14ac:dyDescent="0.25">
      <c r="A71" s="39">
        <v>4133</v>
      </c>
      <c r="B71" s="62">
        <v>6330</v>
      </c>
      <c r="C71" s="42" t="s">
        <v>74</v>
      </c>
      <c r="D71" s="45">
        <f>D36</f>
        <v>580</v>
      </c>
      <c r="E71" s="45">
        <f>E36</f>
        <v>580</v>
      </c>
      <c r="F71" s="45">
        <f>F36</f>
        <v>0</v>
      </c>
      <c r="G71" s="45">
        <f>G36</f>
        <v>0</v>
      </c>
      <c r="H71" s="72">
        <f>H36</f>
        <v>582</v>
      </c>
      <c r="I71" s="58"/>
      <c r="J71" s="32"/>
      <c r="K71" s="289"/>
      <c r="N71" s="289"/>
    </row>
    <row r="72" spans="1:14" s="33" customFormat="1" x14ac:dyDescent="0.25">
      <c r="A72" s="40">
        <v>4134</v>
      </c>
      <c r="B72" s="50">
        <v>6330</v>
      </c>
      <c r="C72" s="43" t="s">
        <v>43</v>
      </c>
      <c r="D72" s="261"/>
      <c r="E72" s="262"/>
      <c r="F72" s="153"/>
      <c r="G72" s="153"/>
      <c r="H72" s="74"/>
      <c r="I72" s="75"/>
      <c r="J72" s="32"/>
      <c r="N72" s="289"/>
    </row>
    <row r="73" spans="1:14" x14ac:dyDescent="0.25">
      <c r="A73" s="60"/>
      <c r="B73" s="97"/>
      <c r="C73" s="63" t="s">
        <v>131</v>
      </c>
      <c r="D73" s="46">
        <f t="shared" ref="D73:H75" si="0">D38</f>
        <v>225</v>
      </c>
      <c r="E73" s="46">
        <f t="shared" si="0"/>
        <v>244</v>
      </c>
      <c r="F73" s="46">
        <f t="shared" si="0"/>
        <v>191075</v>
      </c>
      <c r="G73" s="46">
        <f t="shared" si="0"/>
        <v>264075</v>
      </c>
      <c r="H73" s="74">
        <f t="shared" si="0"/>
        <v>300</v>
      </c>
      <c r="I73" s="75"/>
    </row>
    <row r="74" spans="1:14" x14ac:dyDescent="0.25">
      <c r="A74" s="60"/>
      <c r="B74" s="97"/>
      <c r="C74" s="63" t="s">
        <v>95</v>
      </c>
      <c r="D74" s="46">
        <f t="shared" si="0"/>
        <v>0</v>
      </c>
      <c r="E74" s="46">
        <f t="shared" si="0"/>
        <v>1300</v>
      </c>
      <c r="F74" s="46">
        <f t="shared" si="0"/>
        <v>1300000</v>
      </c>
      <c r="G74" s="46">
        <f t="shared" si="0"/>
        <v>1300000</v>
      </c>
      <c r="H74" s="74">
        <f t="shared" si="0"/>
        <v>0</v>
      </c>
      <c r="I74" s="75"/>
    </row>
    <row r="75" spans="1:14" x14ac:dyDescent="0.25">
      <c r="A75" s="40">
        <v>4139</v>
      </c>
      <c r="B75" s="50">
        <v>6330</v>
      </c>
      <c r="C75" s="43" t="s">
        <v>132</v>
      </c>
      <c r="D75" s="46">
        <f t="shared" si="0"/>
        <v>326</v>
      </c>
      <c r="E75" s="46">
        <f t="shared" si="0"/>
        <v>326</v>
      </c>
      <c r="F75" s="46">
        <f t="shared" si="0"/>
        <v>215456</v>
      </c>
      <c r="G75" s="46">
        <f t="shared" si="0"/>
        <v>263956</v>
      </c>
      <c r="H75" s="74">
        <f t="shared" si="0"/>
        <v>365</v>
      </c>
      <c r="I75" s="75"/>
    </row>
    <row r="76" spans="1:14" ht="30.75" x14ac:dyDescent="0.25">
      <c r="A76" s="40">
        <v>4137</v>
      </c>
      <c r="B76" s="50">
        <v>6330</v>
      </c>
      <c r="C76" s="43" t="s">
        <v>136</v>
      </c>
      <c r="D76" s="46">
        <f>SUM(D41:D65)</f>
        <v>35248</v>
      </c>
      <c r="E76" s="46">
        <f>SUM(E41:E65)</f>
        <v>75667.400000000009</v>
      </c>
      <c r="F76" s="46">
        <f>SUM(F41:F65)</f>
        <v>72119909.469999999</v>
      </c>
      <c r="G76" s="46">
        <f>SUM(G41:G65)</f>
        <v>75049909.469999999</v>
      </c>
      <c r="H76" s="72">
        <f>SUM(H41:H65)</f>
        <v>40007</v>
      </c>
      <c r="I76" s="75"/>
    </row>
    <row r="77" spans="1:14" ht="32.25" thickBot="1" x14ac:dyDescent="0.3">
      <c r="A77" s="111"/>
      <c r="B77" s="112"/>
      <c r="C77" s="119" t="s">
        <v>127</v>
      </c>
      <c r="D77" s="114">
        <f>SUM(D71:D76)</f>
        <v>36379</v>
      </c>
      <c r="E77" s="114">
        <f>SUM(E71:E76)</f>
        <v>78117.400000000009</v>
      </c>
      <c r="F77" s="332">
        <f>SUM(F71:F76)</f>
        <v>73826440.469999999</v>
      </c>
      <c r="G77" s="333">
        <f>SUM(G71:G76)</f>
        <v>76877940.469999999</v>
      </c>
      <c r="H77" s="117">
        <f>SUM(H71:H76)</f>
        <v>41254</v>
      </c>
      <c r="I77" s="118">
        <f>H77</f>
        <v>41254</v>
      </c>
    </row>
    <row r="78" spans="1:14" ht="16.5" thickBot="1" x14ac:dyDescent="0.3">
      <c r="A78" s="246"/>
      <c r="B78" s="246"/>
      <c r="C78" s="255"/>
      <c r="D78" s="256"/>
      <c r="E78" s="256"/>
      <c r="F78" s="256"/>
      <c r="G78" s="256"/>
      <c r="H78" s="249"/>
      <c r="I78" s="257"/>
    </row>
    <row r="79" spans="1:14" ht="32.25" thickBot="1" x14ac:dyDescent="0.3">
      <c r="A79" s="99"/>
      <c r="B79" s="124"/>
      <c r="C79" s="125" t="s">
        <v>137</v>
      </c>
      <c r="D79" s="130">
        <f>D68-D77</f>
        <v>37601</v>
      </c>
      <c r="E79" s="130">
        <f>E68-E77</f>
        <v>40295</v>
      </c>
      <c r="F79" s="127">
        <f>F68-F77</f>
        <v>10931206.590000004</v>
      </c>
      <c r="G79" s="129">
        <f>G68-G77</f>
        <v>11590065.230000004</v>
      </c>
      <c r="H79" s="253">
        <f>H68-H77</f>
        <v>18872</v>
      </c>
      <c r="I79" s="254">
        <f>H79</f>
        <v>18872</v>
      </c>
    </row>
    <row r="80" spans="1:14" ht="16.5" thickBot="1" x14ac:dyDescent="0.3">
      <c r="C80" s="120"/>
      <c r="D80" s="121"/>
      <c r="E80" s="122"/>
      <c r="F80" s="122"/>
      <c r="G80" s="122"/>
      <c r="H80" s="82"/>
      <c r="I80" s="75"/>
    </row>
    <row r="81" spans="1:14" ht="16.5" thickBot="1" x14ac:dyDescent="0.3">
      <c r="A81" s="99"/>
      <c r="B81" s="124"/>
      <c r="C81" s="125" t="s">
        <v>138</v>
      </c>
      <c r="D81" s="130">
        <f>D76</f>
        <v>35248</v>
      </c>
      <c r="E81" s="130">
        <f>E76</f>
        <v>75667.400000000009</v>
      </c>
      <c r="F81" s="130">
        <f>F76</f>
        <v>72119909.469999999</v>
      </c>
      <c r="G81" s="129">
        <f>G76</f>
        <v>75049909.469999999</v>
      </c>
      <c r="H81" s="252">
        <f>H76</f>
        <v>40007</v>
      </c>
      <c r="I81" s="129">
        <f>H81</f>
        <v>40007</v>
      </c>
    </row>
    <row r="82" spans="1:14" ht="16.5" thickBot="1" x14ac:dyDescent="0.3">
      <c r="D82" s="121"/>
      <c r="E82" s="122"/>
      <c r="F82" s="122"/>
      <c r="G82" s="122"/>
      <c r="H82" s="259"/>
      <c r="I82" s="260"/>
    </row>
    <row r="83" spans="1:14" ht="16.5" thickBot="1" x14ac:dyDescent="0.3">
      <c r="A83" s="107"/>
      <c r="B83" s="108"/>
      <c r="C83" s="109" t="s">
        <v>191</v>
      </c>
      <c r="D83" s="131">
        <f t="shared" ref="D83:I83" si="1">SUM(D79:D81)</f>
        <v>72849</v>
      </c>
      <c r="E83" s="131">
        <f t="shared" si="1"/>
        <v>115962.40000000001</v>
      </c>
      <c r="F83" s="131">
        <f t="shared" si="1"/>
        <v>83051116.060000002</v>
      </c>
      <c r="G83" s="131">
        <f t="shared" si="1"/>
        <v>86639974.700000003</v>
      </c>
      <c r="H83" s="132">
        <f t="shared" si="1"/>
        <v>58879</v>
      </c>
      <c r="I83" s="217">
        <f t="shared" si="1"/>
        <v>58879</v>
      </c>
      <c r="K83" s="244"/>
    </row>
    <row r="84" spans="1:14" s="8" customFormat="1" x14ac:dyDescent="0.25">
      <c r="A84" s="208"/>
      <c r="B84" s="208"/>
      <c r="C84" s="209"/>
      <c r="D84" s="210"/>
      <c r="E84" s="210"/>
      <c r="F84" s="210"/>
      <c r="G84" s="210"/>
      <c r="H84" s="210"/>
      <c r="I84" s="210"/>
      <c r="K84"/>
      <c r="L84"/>
      <c r="M84"/>
      <c r="N84" s="2"/>
    </row>
    <row r="85" spans="1:14" s="8" customFormat="1" x14ac:dyDescent="0.25">
      <c r="A85" s="208"/>
      <c r="B85" s="208"/>
      <c r="C85" s="209"/>
      <c r="D85" s="210"/>
      <c r="E85" s="210"/>
      <c r="F85" s="210"/>
      <c r="G85" s="210"/>
      <c r="H85" s="210"/>
      <c r="I85" s="210"/>
      <c r="K85"/>
      <c r="L85"/>
      <c r="M85"/>
      <c r="N85" s="2"/>
    </row>
    <row r="86" spans="1:14" s="8" customFormat="1" ht="12.75" x14ac:dyDescent="0.2">
      <c r="A86" s="344" t="s">
        <v>360</v>
      </c>
      <c r="B86" s="345"/>
      <c r="C86" s="345"/>
      <c r="D86" s="345"/>
      <c r="E86" s="345"/>
      <c r="F86" s="345"/>
      <c r="G86" s="345"/>
      <c r="H86" s="345"/>
      <c r="I86" s="345"/>
      <c r="K86"/>
      <c r="L86"/>
      <c r="M86"/>
      <c r="N86" s="2"/>
    </row>
    <row r="87" spans="1:14" s="8" customFormat="1" ht="12.75" customHeight="1" x14ac:dyDescent="0.2">
      <c r="A87" s="345"/>
      <c r="B87" s="345"/>
      <c r="C87" s="345"/>
      <c r="D87" s="345"/>
      <c r="E87" s="345"/>
      <c r="F87" s="345"/>
      <c r="G87" s="345"/>
      <c r="H87" s="345"/>
      <c r="I87" s="345"/>
      <c r="K87"/>
      <c r="L87"/>
      <c r="M87"/>
      <c r="N87" s="2"/>
    </row>
    <row r="88" spans="1:14" s="8" customFormat="1" ht="12.75" customHeight="1" x14ac:dyDescent="0.2">
      <c r="A88" s="345"/>
      <c r="B88" s="345"/>
      <c r="C88" s="345"/>
      <c r="D88" s="345"/>
      <c r="E88" s="345"/>
      <c r="F88" s="345"/>
      <c r="G88" s="345"/>
      <c r="H88" s="345"/>
      <c r="I88" s="345"/>
      <c r="K88"/>
      <c r="L88"/>
      <c r="M88"/>
      <c r="N88" s="2"/>
    </row>
    <row r="89" spans="1:14" s="8" customFormat="1" ht="12.75" customHeight="1" x14ac:dyDescent="0.2">
      <c r="A89" s="345"/>
      <c r="B89" s="345"/>
      <c r="C89" s="345"/>
      <c r="D89" s="345"/>
      <c r="E89" s="345"/>
      <c r="F89" s="345"/>
      <c r="G89" s="345"/>
      <c r="H89" s="345"/>
      <c r="I89" s="345"/>
      <c r="K89"/>
      <c r="L89"/>
      <c r="M89"/>
      <c r="N89" s="2"/>
    </row>
    <row r="90" spans="1:14" s="8" customFormat="1" ht="12.75" customHeight="1" x14ac:dyDescent="0.2">
      <c r="A90" s="345"/>
      <c r="B90" s="345"/>
      <c r="C90" s="345"/>
      <c r="D90" s="345"/>
      <c r="E90" s="345"/>
      <c r="F90" s="345"/>
      <c r="G90" s="345"/>
      <c r="H90" s="345"/>
      <c r="I90" s="345"/>
      <c r="K90"/>
      <c r="L90"/>
      <c r="M90"/>
      <c r="N90" s="2"/>
    </row>
    <row r="91" spans="1:14" s="8" customFormat="1" ht="12.75" customHeight="1" x14ac:dyDescent="0.2">
      <c r="A91" s="345"/>
      <c r="B91" s="345"/>
      <c r="C91" s="345"/>
      <c r="D91" s="345"/>
      <c r="E91" s="345"/>
      <c r="F91" s="345"/>
      <c r="G91" s="345"/>
      <c r="H91" s="345"/>
      <c r="I91" s="345"/>
      <c r="K91"/>
      <c r="L91"/>
      <c r="M91"/>
      <c r="N91" s="2"/>
    </row>
    <row r="92" spans="1:14" s="8" customFormat="1" ht="12.75" customHeight="1" x14ac:dyDescent="0.2">
      <c r="A92" s="345"/>
      <c r="B92" s="345"/>
      <c r="C92" s="345"/>
      <c r="D92" s="345"/>
      <c r="E92" s="345"/>
      <c r="F92" s="345"/>
      <c r="G92" s="345"/>
      <c r="H92" s="345"/>
      <c r="I92" s="345"/>
      <c r="K92"/>
      <c r="L92"/>
      <c r="M92"/>
      <c r="N92" s="2"/>
    </row>
    <row r="93" spans="1:14" s="8" customFormat="1" ht="12.75" x14ac:dyDescent="0.2">
      <c r="A93" s="345"/>
      <c r="B93" s="345"/>
      <c r="C93" s="345"/>
      <c r="D93" s="345"/>
      <c r="E93" s="345"/>
      <c r="F93" s="345"/>
      <c r="G93" s="345"/>
      <c r="H93" s="345"/>
      <c r="I93" s="345"/>
      <c r="K93"/>
      <c r="L93"/>
      <c r="M93"/>
      <c r="N93" s="2"/>
    </row>
    <row r="94" spans="1:14" s="8" customFormat="1" ht="15" x14ac:dyDescent="0.2">
      <c r="A94" s="110"/>
      <c r="B94" s="110"/>
      <c r="C94" s="64"/>
      <c r="D94" s="2"/>
      <c r="E94" s="2"/>
      <c r="F94"/>
      <c r="G94"/>
      <c r="H94" s="41"/>
      <c r="I94" s="41"/>
      <c r="K94"/>
      <c r="L94"/>
      <c r="M94"/>
      <c r="N94" s="2"/>
    </row>
    <row r="95" spans="1:14" s="8" customFormat="1" ht="15" x14ac:dyDescent="0.2">
      <c r="A95" s="110"/>
      <c r="B95" s="110"/>
      <c r="C95" s="64"/>
      <c r="D95" s="2"/>
      <c r="E95" s="2"/>
      <c r="F95"/>
      <c r="G95"/>
      <c r="H95" s="41"/>
      <c r="I95" s="41"/>
      <c r="K95"/>
      <c r="L95"/>
      <c r="M95"/>
      <c r="N95" s="2"/>
    </row>
    <row r="96" spans="1:14" s="8" customFormat="1" x14ac:dyDescent="0.25">
      <c r="A96" s="110"/>
      <c r="B96" s="110"/>
      <c r="C96" s="335"/>
      <c r="D96" s="335"/>
      <c r="E96" s="335"/>
      <c r="F96" s="335"/>
      <c r="G96" s="309"/>
      <c r="H96" s="41"/>
      <c r="I96" s="41"/>
      <c r="K96"/>
      <c r="L96"/>
      <c r="M96"/>
      <c r="N96" s="2"/>
    </row>
    <row r="97" spans="1:14" s="8" customFormat="1" x14ac:dyDescent="0.25">
      <c r="A97" s="110"/>
      <c r="B97" s="110"/>
      <c r="C97" s="338" t="s">
        <v>358</v>
      </c>
      <c r="D97" s="338"/>
      <c r="E97" s="338"/>
      <c r="F97" s="338"/>
      <c r="G97" s="309"/>
      <c r="H97" s="41"/>
      <c r="I97" s="41"/>
      <c r="K97"/>
      <c r="L97"/>
      <c r="M97"/>
      <c r="N97" s="2"/>
    </row>
    <row r="98" spans="1:14" s="8" customFormat="1" x14ac:dyDescent="0.25">
      <c r="A98" s="110"/>
      <c r="B98" s="110"/>
      <c r="C98" s="335"/>
      <c r="D98" s="335"/>
      <c r="E98" s="335"/>
      <c r="F98" s="335"/>
      <c r="G98" s="335"/>
      <c r="H98" s="41"/>
      <c r="I98" s="41"/>
      <c r="K98"/>
      <c r="L98"/>
      <c r="M98"/>
      <c r="N98" s="2"/>
    </row>
    <row r="99" spans="1:14" s="8" customFormat="1" x14ac:dyDescent="0.25">
      <c r="A99" s="110"/>
      <c r="B99" s="110"/>
      <c r="C99" s="338" t="s">
        <v>359</v>
      </c>
      <c r="D99" s="338"/>
      <c r="E99" s="338"/>
      <c r="F99" s="338"/>
      <c r="G99" s="335"/>
      <c r="H99" s="41"/>
      <c r="I99" s="41"/>
      <c r="K99"/>
      <c r="L99"/>
      <c r="M99"/>
      <c r="N99" s="2"/>
    </row>
    <row r="100" spans="1:14" s="8" customFormat="1" ht="15" x14ac:dyDescent="0.2">
      <c r="A100" s="110"/>
      <c r="B100" s="110"/>
      <c r="C100" s="339" t="s">
        <v>357</v>
      </c>
      <c r="D100" s="339"/>
      <c r="E100" s="339"/>
      <c r="F100" s="339"/>
      <c r="G100" s="311"/>
      <c r="H100" s="41"/>
      <c r="I100" s="41"/>
      <c r="K100"/>
      <c r="L100"/>
      <c r="M100"/>
      <c r="N100" s="2"/>
    </row>
    <row r="101" spans="1:14" s="8" customFormat="1" ht="15" x14ac:dyDescent="0.2">
      <c r="A101" s="110"/>
      <c r="B101" s="110"/>
      <c r="C101" s="287"/>
      <c r="D101" s="288"/>
      <c r="E101" s="288"/>
      <c r="F101" s="288"/>
      <c r="G101" s="288"/>
      <c r="H101" s="41"/>
      <c r="I101" s="41"/>
      <c r="K101"/>
      <c r="L101"/>
      <c r="M101"/>
      <c r="N101" s="2"/>
    </row>
    <row r="102" spans="1:14" s="8" customFormat="1" x14ac:dyDescent="0.25">
      <c r="A102" s="110"/>
      <c r="B102" s="110"/>
      <c r="C102" s="340" t="s">
        <v>130</v>
      </c>
      <c r="D102" s="340"/>
      <c r="E102" s="340"/>
      <c r="F102" s="340"/>
      <c r="G102" s="308"/>
      <c r="H102" s="41"/>
      <c r="I102" s="41"/>
      <c r="K102"/>
      <c r="L102"/>
      <c r="M102"/>
      <c r="N102" s="2"/>
    </row>
  </sheetData>
  <mergeCells count="9">
    <mergeCell ref="A1:I1"/>
    <mergeCell ref="C97:F97"/>
    <mergeCell ref="C100:F100"/>
    <mergeCell ref="C102:F102"/>
    <mergeCell ref="A2:H2"/>
    <mergeCell ref="D5:F5"/>
    <mergeCell ref="H5:I5"/>
    <mergeCell ref="A86:I93"/>
    <mergeCell ref="C99:F99"/>
  </mergeCells>
  <hyperlinks>
    <hyperlink ref="C100" r:id="rId1" display="http://www.praha-kunratice.cz/"/>
  </hyperlinks>
  <pageMargins left="0.70866141732283472" right="0.70866141732283472" top="0.78740157480314965" bottom="0.78740157480314965" header="0.31496062992125984" footer="0.31496062992125984"/>
  <pageSetup paperSize="9" scale="80" fitToHeight="10" orientation="landscape" r:id="rId2"/>
  <headerFooter differentFirst="1">
    <oddHeader xml:space="preserve">&amp;C          
</oddHeader>
    <oddFooter>&amp;CStránka &amp;P</oddFooter>
    <firstHeader xml:space="preserve">&amp;LPříloha č. 1 k bodu 10  23. zasedání ZMČ Praha Kunratice dne 20.12.2017
</firstHeader>
    <firstFooter>&amp;CStránka 1</first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5"/>
  <sheetViews>
    <sheetView tabSelected="1" zoomScaleNormal="100" workbookViewId="0">
      <selection activeCell="K12" sqref="K12"/>
    </sheetView>
  </sheetViews>
  <sheetFormatPr defaultRowHeight="15" x14ac:dyDescent="0.2"/>
  <cols>
    <col min="1" max="1" width="7.7109375" style="110" customWidth="1"/>
    <col min="2" max="2" width="7.140625" style="110" customWidth="1"/>
    <col min="3" max="3" width="71.5703125" style="64" customWidth="1"/>
    <col min="4" max="4" width="12.5703125" style="59" customWidth="1"/>
    <col min="5" max="5" width="13.28515625" style="59" customWidth="1"/>
    <col min="6" max="6" width="16.42578125" style="41" customWidth="1"/>
    <col min="7" max="7" width="16.5703125" style="41" customWidth="1"/>
    <col min="8" max="8" width="17.28515625" style="233" customWidth="1"/>
    <col min="9" max="9" width="17" style="41" customWidth="1"/>
    <col min="10" max="10" width="20.42578125" style="12" customWidth="1"/>
    <col min="11" max="11" width="16.140625" style="13" customWidth="1"/>
    <col min="12" max="12" width="11.85546875" style="2" bestFit="1" customWidth="1"/>
    <col min="13" max="14" width="11.7109375" style="2" bestFit="1" customWidth="1"/>
    <col min="15" max="15" width="9.140625" style="2"/>
  </cols>
  <sheetData>
    <row r="1" spans="1:15" ht="15.75" x14ac:dyDescent="0.25">
      <c r="A1" s="351" t="s">
        <v>117</v>
      </c>
      <c r="B1" s="351"/>
      <c r="C1" s="351"/>
      <c r="D1" s="351"/>
      <c r="E1" s="351"/>
      <c r="F1" s="351"/>
      <c r="G1" s="337"/>
      <c r="H1" s="337"/>
      <c r="I1" s="352"/>
    </row>
    <row r="2" spans="1:15" ht="15.75" x14ac:dyDescent="0.25">
      <c r="A2" s="346" t="s">
        <v>353</v>
      </c>
      <c r="B2" s="346"/>
      <c r="C2" s="346"/>
      <c r="D2" s="346"/>
      <c r="E2" s="346"/>
      <c r="F2" s="346"/>
      <c r="G2" s="346"/>
      <c r="H2" s="346"/>
      <c r="I2" s="347"/>
    </row>
    <row r="3" spans="1:15" x14ac:dyDescent="0.2">
      <c r="A3" s="135"/>
      <c r="B3" s="135"/>
      <c r="C3" s="136"/>
      <c r="D3" s="137"/>
      <c r="E3" s="137"/>
      <c r="F3" s="138"/>
      <c r="G3" s="138"/>
      <c r="H3" s="226"/>
      <c r="I3" s="134"/>
    </row>
    <row r="4" spans="1:15" ht="15.75" x14ac:dyDescent="0.25">
      <c r="A4" s="87"/>
      <c r="B4" s="87"/>
      <c r="C4" s="139"/>
      <c r="D4" s="348" t="s">
        <v>219</v>
      </c>
      <c r="E4" s="348"/>
      <c r="F4" s="348"/>
      <c r="G4" s="312"/>
      <c r="H4" s="349" t="s">
        <v>354</v>
      </c>
      <c r="I4" s="350"/>
    </row>
    <row r="5" spans="1:15" ht="15.75" thickBot="1" x14ac:dyDescent="0.25">
      <c r="A5" s="140"/>
      <c r="B5" s="140"/>
      <c r="C5" s="88"/>
      <c r="D5" s="141"/>
      <c r="E5" s="142"/>
      <c r="F5" s="143"/>
      <c r="G5" s="143"/>
      <c r="H5" s="227"/>
      <c r="I5" s="144"/>
    </row>
    <row r="6" spans="1:15" s="1" customFormat="1" ht="15.75" x14ac:dyDescent="0.25">
      <c r="A6" s="89" t="s">
        <v>1</v>
      </c>
      <c r="B6" s="90" t="s">
        <v>2</v>
      </c>
      <c r="C6" s="91" t="s">
        <v>44</v>
      </c>
      <c r="D6" s="145" t="s">
        <v>45</v>
      </c>
      <c r="E6" s="146" t="s">
        <v>348</v>
      </c>
      <c r="F6" s="145" t="s">
        <v>349</v>
      </c>
      <c r="G6" s="321" t="s">
        <v>349</v>
      </c>
      <c r="H6" s="334" t="s">
        <v>355</v>
      </c>
      <c r="I6" s="334" t="s">
        <v>355</v>
      </c>
      <c r="J6" s="266"/>
      <c r="K6" s="267"/>
      <c r="L6" s="27"/>
      <c r="M6" s="27"/>
      <c r="N6" s="27"/>
      <c r="O6" s="27"/>
    </row>
    <row r="7" spans="1:15" ht="16.5" thickBot="1" x14ac:dyDescent="0.3">
      <c r="A7" s="147"/>
      <c r="B7" s="148"/>
      <c r="C7" s="94" t="s">
        <v>3</v>
      </c>
      <c r="D7" s="149" t="s">
        <v>7</v>
      </c>
      <c r="E7" s="150" t="s">
        <v>7</v>
      </c>
      <c r="F7" s="320" t="s">
        <v>350</v>
      </c>
      <c r="G7" s="322" t="s">
        <v>343</v>
      </c>
      <c r="H7" s="68" t="s">
        <v>7</v>
      </c>
      <c r="I7" s="151" t="s">
        <v>7</v>
      </c>
    </row>
    <row r="8" spans="1:15" x14ac:dyDescent="0.2">
      <c r="A8" s="292">
        <v>2212</v>
      </c>
      <c r="B8" s="293">
        <v>5137</v>
      </c>
      <c r="C8" s="294" t="s">
        <v>51</v>
      </c>
      <c r="D8" s="264">
        <v>10</v>
      </c>
      <c r="E8" s="264">
        <v>10</v>
      </c>
      <c r="F8" s="264">
        <v>0</v>
      </c>
      <c r="G8" s="319">
        <v>0</v>
      </c>
      <c r="H8" s="242">
        <v>10</v>
      </c>
      <c r="I8" s="152"/>
    </row>
    <row r="9" spans="1:15" x14ac:dyDescent="0.2">
      <c r="A9" s="40">
        <v>2212</v>
      </c>
      <c r="B9" s="50">
        <v>5139</v>
      </c>
      <c r="C9" s="290" t="s">
        <v>8</v>
      </c>
      <c r="D9" s="46">
        <v>10</v>
      </c>
      <c r="E9" s="46">
        <v>10</v>
      </c>
      <c r="F9" s="46">
        <v>872</v>
      </c>
      <c r="G9" s="153">
        <v>3100</v>
      </c>
      <c r="H9" s="243">
        <v>10</v>
      </c>
      <c r="I9" s="126"/>
    </row>
    <row r="10" spans="1:15" x14ac:dyDescent="0.2">
      <c r="A10" s="40">
        <v>2212</v>
      </c>
      <c r="B10" s="50">
        <v>5156</v>
      </c>
      <c r="C10" s="290" t="s">
        <v>29</v>
      </c>
      <c r="D10" s="46">
        <v>7</v>
      </c>
      <c r="E10" s="46">
        <v>7</v>
      </c>
      <c r="F10" s="46">
        <v>3204.67</v>
      </c>
      <c r="G10" s="153">
        <v>3204.67</v>
      </c>
      <c r="H10" s="243">
        <v>7</v>
      </c>
      <c r="I10" s="126"/>
    </row>
    <row r="11" spans="1:15" x14ac:dyDescent="0.2">
      <c r="A11" s="40">
        <v>2212</v>
      </c>
      <c r="B11" s="50">
        <v>5164</v>
      </c>
      <c r="C11" s="290" t="s">
        <v>240</v>
      </c>
      <c r="D11" s="46">
        <v>0</v>
      </c>
      <c r="E11" s="46">
        <v>3</v>
      </c>
      <c r="F11" s="46">
        <v>2051</v>
      </c>
      <c r="G11" s="153">
        <f>2051+871</f>
        <v>2922</v>
      </c>
      <c r="H11" s="72">
        <v>11</v>
      </c>
      <c r="I11" s="126"/>
    </row>
    <row r="12" spans="1:15" x14ac:dyDescent="0.2">
      <c r="A12" s="40">
        <v>2212</v>
      </c>
      <c r="B12" s="50">
        <v>5169</v>
      </c>
      <c r="C12" s="290" t="s">
        <v>169</v>
      </c>
      <c r="D12" s="46">
        <v>1000</v>
      </c>
      <c r="E12" s="46">
        <v>1000</v>
      </c>
      <c r="F12" s="46">
        <v>868475.36</v>
      </c>
      <c r="G12" s="153">
        <f>F12+40000</f>
        <v>908475.36</v>
      </c>
      <c r="H12" s="72">
        <v>1000</v>
      </c>
      <c r="I12" s="126"/>
    </row>
    <row r="13" spans="1:15" ht="60" x14ac:dyDescent="0.2">
      <c r="A13" s="40">
        <v>2212</v>
      </c>
      <c r="B13" s="50">
        <v>5169</v>
      </c>
      <c r="C13" s="290" t="s">
        <v>171</v>
      </c>
      <c r="D13" s="46">
        <v>550</v>
      </c>
      <c r="E13" s="46">
        <v>600</v>
      </c>
      <c r="F13" s="46">
        <v>533308.43000000005</v>
      </c>
      <c r="G13" s="153">
        <f>F13+14000+29040+5000</f>
        <v>581348.43000000005</v>
      </c>
      <c r="H13" s="72">
        <v>440</v>
      </c>
      <c r="I13" s="126"/>
      <c r="J13" s="13"/>
    </row>
    <row r="14" spans="1:15" ht="31.5" x14ac:dyDescent="0.25">
      <c r="A14" s="164"/>
      <c r="B14" s="165"/>
      <c r="C14" s="295" t="s">
        <v>300</v>
      </c>
      <c r="D14" s="46"/>
      <c r="E14" s="46"/>
      <c r="F14" s="46"/>
      <c r="G14" s="153"/>
      <c r="H14" s="72"/>
      <c r="I14" s="126"/>
    </row>
    <row r="15" spans="1:15" ht="15.75" x14ac:dyDescent="0.25">
      <c r="A15" s="164"/>
      <c r="B15" s="165"/>
      <c r="C15" s="295" t="s">
        <v>301</v>
      </c>
      <c r="D15" s="46"/>
      <c r="E15" s="46"/>
      <c r="F15" s="46"/>
      <c r="G15" s="153"/>
      <c r="H15" s="72"/>
      <c r="I15" s="126"/>
    </row>
    <row r="16" spans="1:15" x14ac:dyDescent="0.2">
      <c r="A16" s="40">
        <v>2212</v>
      </c>
      <c r="B16" s="50">
        <v>5171</v>
      </c>
      <c r="C16" s="290" t="s">
        <v>170</v>
      </c>
      <c r="D16" s="46">
        <v>700</v>
      </c>
      <c r="E16" s="46">
        <v>700</v>
      </c>
      <c r="F16" s="46">
        <v>766551</v>
      </c>
      <c r="G16" s="46">
        <v>766551</v>
      </c>
      <c r="H16" s="72">
        <v>500</v>
      </c>
      <c r="I16" s="126"/>
    </row>
    <row r="17" spans="1:10" x14ac:dyDescent="0.2">
      <c r="A17" s="40"/>
      <c r="B17" s="50"/>
      <c r="C17" s="290" t="s">
        <v>172</v>
      </c>
      <c r="D17" s="46">
        <v>300</v>
      </c>
      <c r="E17" s="46">
        <v>300</v>
      </c>
      <c r="F17" s="46">
        <v>51719</v>
      </c>
      <c r="G17" s="46">
        <f>51719+12100</f>
        <v>63819</v>
      </c>
      <c r="H17" s="72">
        <v>300</v>
      </c>
      <c r="I17" s="126"/>
    </row>
    <row r="18" spans="1:10" x14ac:dyDescent="0.2">
      <c r="A18" s="40"/>
      <c r="B18" s="50"/>
      <c r="C18" s="290" t="s">
        <v>159</v>
      </c>
      <c r="D18" s="46">
        <v>170</v>
      </c>
      <c r="E18" s="46">
        <v>170</v>
      </c>
      <c r="F18" s="46">
        <f>61216.7+1863+2360</f>
        <v>65439.7</v>
      </c>
      <c r="G18" s="46">
        <f>F18+6000</f>
        <v>71439.7</v>
      </c>
      <c r="H18" s="72">
        <v>170</v>
      </c>
      <c r="I18" s="126"/>
      <c r="J18" s="13"/>
    </row>
    <row r="19" spans="1:10" ht="31.5" x14ac:dyDescent="0.25">
      <c r="A19" s="164"/>
      <c r="B19" s="165"/>
      <c r="C19" s="295" t="s">
        <v>352</v>
      </c>
      <c r="D19" s="46"/>
      <c r="E19" s="46"/>
      <c r="F19" s="46"/>
      <c r="G19" s="153"/>
      <c r="H19" s="72"/>
      <c r="I19" s="126"/>
      <c r="J19" s="13"/>
    </row>
    <row r="20" spans="1:10" ht="15.75" x14ac:dyDescent="0.25">
      <c r="A20" s="164"/>
      <c r="B20" s="165"/>
      <c r="C20" s="295" t="s">
        <v>302</v>
      </c>
      <c r="D20" s="46"/>
      <c r="E20" s="46"/>
      <c r="F20" s="46"/>
      <c r="G20" s="153"/>
      <c r="H20" s="72"/>
      <c r="I20" s="126"/>
      <c r="J20" s="13"/>
    </row>
    <row r="21" spans="1:10" x14ac:dyDescent="0.2">
      <c r="A21" s="40">
        <v>2212</v>
      </c>
      <c r="B21" s="50">
        <v>6121</v>
      </c>
      <c r="C21" s="290" t="s">
        <v>306</v>
      </c>
      <c r="D21" s="46"/>
      <c r="E21" s="46"/>
      <c r="F21" s="46"/>
      <c r="G21" s="153"/>
      <c r="H21" s="72"/>
      <c r="I21" s="126"/>
      <c r="J21" s="13"/>
    </row>
    <row r="22" spans="1:10" ht="15.75" x14ac:dyDescent="0.25">
      <c r="A22" s="40"/>
      <c r="B22" s="50"/>
      <c r="C22" s="295" t="s">
        <v>307</v>
      </c>
      <c r="D22" s="46"/>
      <c r="E22" s="46"/>
      <c r="F22" s="46"/>
      <c r="G22" s="153"/>
      <c r="H22" s="72"/>
      <c r="I22" s="126"/>
      <c r="J22" s="13"/>
    </row>
    <row r="23" spans="1:10" x14ac:dyDescent="0.2">
      <c r="A23" s="40"/>
      <c r="B23" s="50"/>
      <c r="C23" s="290" t="s">
        <v>304</v>
      </c>
      <c r="D23" s="46">
        <f>36400+2200</f>
        <v>38600</v>
      </c>
      <c r="E23" s="46">
        <f>26400+2200</f>
        <v>28600</v>
      </c>
      <c r="F23" s="46">
        <v>0</v>
      </c>
      <c r="G23" s="153">
        <v>0</v>
      </c>
      <c r="H23" s="72">
        <v>0</v>
      </c>
      <c r="I23" s="126"/>
    </row>
    <row r="24" spans="1:10" x14ac:dyDescent="0.2">
      <c r="A24" s="40"/>
      <c r="B24" s="50"/>
      <c r="C24" s="290" t="s">
        <v>305</v>
      </c>
      <c r="D24" s="46">
        <v>0</v>
      </c>
      <c r="E24" s="46">
        <v>20000</v>
      </c>
      <c r="F24" s="46">
        <f>12675263.43+2101794.2</f>
        <v>14777057.629999999</v>
      </c>
      <c r="G24" s="153">
        <f>F24+3881514.11</f>
        <v>18658571.739999998</v>
      </c>
      <c r="H24" s="72">
        <v>0</v>
      </c>
      <c r="I24" s="126"/>
    </row>
    <row r="25" spans="1:10" ht="30" x14ac:dyDescent="0.2">
      <c r="A25" s="40"/>
      <c r="B25" s="50"/>
      <c r="C25" s="290" t="s">
        <v>309</v>
      </c>
      <c r="D25" s="46"/>
      <c r="E25" s="46"/>
      <c r="F25" s="46"/>
      <c r="G25" s="153"/>
      <c r="H25" s="72">
        <v>15550</v>
      </c>
      <c r="I25" s="126"/>
    </row>
    <row r="26" spans="1:10" ht="30" x14ac:dyDescent="0.2">
      <c r="A26" s="40"/>
      <c r="B26" s="50"/>
      <c r="C26" s="290" t="s">
        <v>308</v>
      </c>
      <c r="D26" s="46"/>
      <c r="E26" s="46"/>
      <c r="F26" s="46"/>
      <c r="G26" s="153"/>
      <c r="H26" s="72">
        <v>40000</v>
      </c>
      <c r="I26" s="126"/>
    </row>
    <row r="27" spans="1:10" ht="30" x14ac:dyDescent="0.2">
      <c r="A27" s="40">
        <v>2212</v>
      </c>
      <c r="B27" s="50">
        <v>6121</v>
      </c>
      <c r="C27" s="290" t="s">
        <v>310</v>
      </c>
      <c r="D27" s="46"/>
      <c r="E27" s="46"/>
      <c r="F27" s="46"/>
      <c r="G27" s="153"/>
      <c r="H27" s="72">
        <v>620</v>
      </c>
      <c r="I27" s="126"/>
    </row>
    <row r="28" spans="1:10" ht="30" x14ac:dyDescent="0.2">
      <c r="A28" s="40">
        <v>2212</v>
      </c>
      <c r="B28" s="50">
        <v>6121</v>
      </c>
      <c r="C28" s="290" t="s">
        <v>311</v>
      </c>
      <c r="D28" s="46"/>
      <c r="E28" s="46"/>
      <c r="F28" s="46"/>
      <c r="G28" s="153"/>
      <c r="H28" s="72">
        <v>350</v>
      </c>
      <c r="I28" s="126"/>
    </row>
    <row r="29" spans="1:10" ht="30" x14ac:dyDescent="0.2">
      <c r="A29" s="40">
        <v>2212</v>
      </c>
      <c r="B29" s="50">
        <v>6122</v>
      </c>
      <c r="C29" s="290" t="s">
        <v>303</v>
      </c>
      <c r="D29" s="46">
        <v>62</v>
      </c>
      <c r="E29" s="46">
        <v>59</v>
      </c>
      <c r="F29" s="46">
        <v>42649</v>
      </c>
      <c r="G29" s="46">
        <v>42649</v>
      </c>
      <c r="H29" s="72">
        <v>0</v>
      </c>
      <c r="I29" s="126"/>
      <c r="J29" s="13"/>
    </row>
    <row r="30" spans="1:10" ht="15.75" x14ac:dyDescent="0.25">
      <c r="A30" s="155">
        <v>2212</v>
      </c>
      <c r="B30" s="49"/>
      <c r="C30" s="197" t="s">
        <v>11</v>
      </c>
      <c r="D30" s="198">
        <f>SUM(D8:D29)</f>
        <v>41409</v>
      </c>
      <c r="E30" s="198">
        <f>SUM(E8:E29)</f>
        <v>51459</v>
      </c>
      <c r="F30" s="198">
        <f>SUM(F8:F29)</f>
        <v>17111327.789999999</v>
      </c>
      <c r="G30" s="198">
        <f>SUM(G8:G29)</f>
        <v>21102080.899999999</v>
      </c>
      <c r="H30" s="251">
        <f>SUM(H8:H29)</f>
        <v>58968</v>
      </c>
      <c r="I30" s="116">
        <f>H30</f>
        <v>58968</v>
      </c>
    </row>
    <row r="31" spans="1:10" x14ac:dyDescent="0.2">
      <c r="A31" s="40"/>
      <c r="B31" s="50"/>
      <c r="C31" s="43"/>
      <c r="D31" s="46"/>
      <c r="E31" s="153"/>
      <c r="F31" s="52"/>
      <c r="G31" s="126"/>
      <c r="H31" s="323"/>
      <c r="I31" s="126"/>
    </row>
    <row r="32" spans="1:10" x14ac:dyDescent="0.2">
      <c r="A32" s="39">
        <v>2310</v>
      </c>
      <c r="B32" s="48">
        <v>5171</v>
      </c>
      <c r="C32" s="85" t="s">
        <v>10</v>
      </c>
      <c r="D32" s="45">
        <v>50</v>
      </c>
      <c r="E32" s="45">
        <v>50</v>
      </c>
      <c r="F32" s="51">
        <v>0</v>
      </c>
      <c r="G32" s="126">
        <v>0</v>
      </c>
      <c r="H32" s="306">
        <v>50</v>
      </c>
      <c r="I32" s="126"/>
    </row>
    <row r="33" spans="1:12" ht="15.75" x14ac:dyDescent="0.25">
      <c r="A33" s="158">
        <v>2310</v>
      </c>
      <c r="B33" s="159"/>
      <c r="C33" s="160" t="s">
        <v>12</v>
      </c>
      <c r="D33" s="161">
        <f>SUM(D32:D32)</f>
        <v>50</v>
      </c>
      <c r="E33" s="157">
        <f>SUM(E32:E32)</f>
        <v>50</v>
      </c>
      <c r="F33" s="56">
        <f>SUM(F32:F32)</f>
        <v>0</v>
      </c>
      <c r="G33" s="156">
        <f>SUM(G32:G32)</f>
        <v>0</v>
      </c>
      <c r="H33" s="301">
        <f>SUM(H32)</f>
        <v>50</v>
      </c>
      <c r="I33" s="156">
        <f>H33</f>
        <v>50</v>
      </c>
    </row>
    <row r="34" spans="1:12" x14ac:dyDescent="0.2">
      <c r="A34" s="39"/>
      <c r="B34" s="48"/>
      <c r="C34" s="85"/>
      <c r="D34" s="45"/>
      <c r="E34" s="45"/>
      <c r="F34" s="51"/>
      <c r="G34" s="126"/>
      <c r="H34" s="324"/>
      <c r="I34" s="126"/>
    </row>
    <row r="35" spans="1:12" x14ac:dyDescent="0.2">
      <c r="A35" s="39">
        <v>2321</v>
      </c>
      <c r="B35" s="62">
        <v>5139</v>
      </c>
      <c r="C35" s="85" t="s">
        <v>8</v>
      </c>
      <c r="D35" s="45">
        <v>10</v>
      </c>
      <c r="E35" s="45">
        <v>10</v>
      </c>
      <c r="F35" s="51">
        <v>0</v>
      </c>
      <c r="G35" s="126">
        <v>0</v>
      </c>
      <c r="H35" s="223">
        <v>10</v>
      </c>
      <c r="I35" s="126"/>
    </row>
    <row r="36" spans="1:12" x14ac:dyDescent="0.2">
      <c r="A36" s="40">
        <v>2321</v>
      </c>
      <c r="B36" s="50">
        <v>5169</v>
      </c>
      <c r="C36" s="290" t="s">
        <v>241</v>
      </c>
      <c r="D36" s="46">
        <v>5</v>
      </c>
      <c r="E36" s="46">
        <v>5</v>
      </c>
      <c r="F36" s="52">
        <v>0</v>
      </c>
      <c r="G36" s="154">
        <v>0</v>
      </c>
      <c r="H36" s="223">
        <v>5</v>
      </c>
      <c r="I36" s="126"/>
    </row>
    <row r="37" spans="1:12" ht="30" x14ac:dyDescent="0.2">
      <c r="A37" s="40">
        <v>2321</v>
      </c>
      <c r="B37" s="50">
        <v>5169</v>
      </c>
      <c r="C37" s="290" t="s">
        <v>312</v>
      </c>
      <c r="D37" s="46">
        <v>120</v>
      </c>
      <c r="E37" s="46">
        <v>120</v>
      </c>
      <c r="F37" s="52">
        <f>161837.5</f>
        <v>161837.5</v>
      </c>
      <c r="G37" s="154">
        <f>161837.5</f>
        <v>161837.5</v>
      </c>
      <c r="H37" s="223">
        <v>100</v>
      </c>
      <c r="I37" s="126"/>
    </row>
    <row r="38" spans="1:12" ht="30" x14ac:dyDescent="0.2">
      <c r="A38" s="40">
        <v>2321</v>
      </c>
      <c r="B38" s="50">
        <v>5171</v>
      </c>
      <c r="C38" s="290" t="s">
        <v>347</v>
      </c>
      <c r="D38" s="46">
        <v>70</v>
      </c>
      <c r="E38" s="46">
        <v>70</v>
      </c>
      <c r="F38" s="52">
        <v>20890</v>
      </c>
      <c r="G38" s="154">
        <f>20890+35000</f>
        <v>55890</v>
      </c>
      <c r="H38" s="223">
        <v>100</v>
      </c>
      <c r="I38" s="126"/>
    </row>
    <row r="39" spans="1:12" ht="15.75" x14ac:dyDescent="0.25">
      <c r="A39" s="158">
        <v>2321</v>
      </c>
      <c r="B39" s="159"/>
      <c r="C39" s="160" t="s">
        <v>13</v>
      </c>
      <c r="D39" s="161">
        <f>SUM(D35:D38)</f>
        <v>205</v>
      </c>
      <c r="E39" s="161">
        <f>SUM(E35:E38)</f>
        <v>205</v>
      </c>
      <c r="F39" s="168">
        <f>SUM(F35:F38)</f>
        <v>182727.5</v>
      </c>
      <c r="G39" s="116">
        <f>SUM(G35:G38)</f>
        <v>217727.5</v>
      </c>
      <c r="H39" s="325">
        <f>SUM(H35:H38)</f>
        <v>215</v>
      </c>
      <c r="I39" s="156">
        <f>H39</f>
        <v>215</v>
      </c>
    </row>
    <row r="40" spans="1:12" x14ac:dyDescent="0.2">
      <c r="A40" s="39"/>
      <c r="B40" s="48"/>
      <c r="C40" s="85"/>
      <c r="D40" s="45"/>
      <c r="E40" s="45"/>
      <c r="F40" s="51"/>
      <c r="G40" s="51"/>
      <c r="H40" s="133"/>
      <c r="I40" s="126"/>
    </row>
    <row r="41" spans="1:12" x14ac:dyDescent="0.2">
      <c r="A41" s="39">
        <v>2334</v>
      </c>
      <c r="B41" s="62">
        <v>5139</v>
      </c>
      <c r="C41" s="85" t="s">
        <v>8</v>
      </c>
      <c r="D41" s="45">
        <v>5</v>
      </c>
      <c r="E41" s="45">
        <v>5</v>
      </c>
      <c r="F41" s="51">
        <v>3337</v>
      </c>
      <c r="G41" s="51">
        <v>3337</v>
      </c>
      <c r="H41" s="72">
        <v>5</v>
      </c>
      <c r="I41" s="126"/>
    </row>
    <row r="42" spans="1:12" ht="30" x14ac:dyDescent="0.2">
      <c r="A42" s="40">
        <v>2334</v>
      </c>
      <c r="B42" s="50">
        <v>5154</v>
      </c>
      <c r="C42" s="290" t="s">
        <v>173</v>
      </c>
      <c r="D42" s="46">
        <v>5</v>
      </c>
      <c r="E42" s="46">
        <v>5</v>
      </c>
      <c r="F42" s="52">
        <v>0</v>
      </c>
      <c r="G42" s="52">
        <v>0</v>
      </c>
      <c r="H42" s="72">
        <v>5</v>
      </c>
      <c r="I42" s="126"/>
    </row>
    <row r="43" spans="1:12" x14ac:dyDescent="0.2">
      <c r="A43" s="40">
        <v>2334</v>
      </c>
      <c r="B43" s="50">
        <v>5169</v>
      </c>
      <c r="C43" s="290" t="s">
        <v>313</v>
      </c>
      <c r="D43" s="46">
        <v>5</v>
      </c>
      <c r="E43" s="46">
        <v>55</v>
      </c>
      <c r="F43" s="52">
        <v>39214</v>
      </c>
      <c r="G43" s="52">
        <v>39214</v>
      </c>
      <c r="H43" s="72">
        <v>5</v>
      </c>
      <c r="I43" s="126"/>
    </row>
    <row r="44" spans="1:12" x14ac:dyDescent="0.2">
      <c r="A44" s="40">
        <v>2334</v>
      </c>
      <c r="B44" s="50">
        <v>5171</v>
      </c>
      <c r="C44" s="290" t="s">
        <v>114</v>
      </c>
      <c r="D44" s="46">
        <v>15</v>
      </c>
      <c r="E44" s="46">
        <v>15</v>
      </c>
      <c r="F44" s="52">
        <v>0</v>
      </c>
      <c r="G44" s="52">
        <v>0</v>
      </c>
      <c r="H44" s="72">
        <v>15</v>
      </c>
      <c r="I44" s="126"/>
      <c r="L44" s="29"/>
    </row>
    <row r="45" spans="1:12" ht="30" x14ac:dyDescent="0.2">
      <c r="A45" s="40">
        <v>2334</v>
      </c>
      <c r="B45" s="50">
        <v>5171</v>
      </c>
      <c r="C45" s="290" t="s">
        <v>314</v>
      </c>
      <c r="D45" s="46">
        <v>50</v>
      </c>
      <c r="E45" s="46">
        <v>50</v>
      </c>
      <c r="F45" s="46">
        <v>12705</v>
      </c>
      <c r="G45" s="46">
        <v>12705</v>
      </c>
      <c r="H45" s="72">
        <v>50</v>
      </c>
      <c r="I45" s="126"/>
      <c r="L45" s="29"/>
    </row>
    <row r="46" spans="1:12" x14ac:dyDescent="0.2">
      <c r="A46" s="40">
        <v>2334</v>
      </c>
      <c r="B46" s="50">
        <v>6129</v>
      </c>
      <c r="C46" s="290" t="s">
        <v>315</v>
      </c>
      <c r="D46" s="46">
        <v>0</v>
      </c>
      <c r="E46" s="46">
        <v>96</v>
      </c>
      <c r="F46" s="52">
        <v>0</v>
      </c>
      <c r="G46" s="52">
        <v>0</v>
      </c>
      <c r="H46" s="72">
        <v>2000</v>
      </c>
      <c r="I46" s="126"/>
      <c r="L46" s="29"/>
    </row>
    <row r="47" spans="1:12" ht="15.75" x14ac:dyDescent="0.25">
      <c r="A47" s="155">
        <v>2334</v>
      </c>
      <c r="B47" s="224"/>
      <c r="C47" s="160" t="s">
        <v>47</v>
      </c>
      <c r="D47" s="198">
        <f>SUM(D41:D46)</f>
        <v>80</v>
      </c>
      <c r="E47" s="198">
        <f>SUM(E41:E46)</f>
        <v>226</v>
      </c>
      <c r="F47" s="47">
        <f>SUM(F41:F46)</f>
        <v>55256</v>
      </c>
      <c r="G47" s="47">
        <f>SUM(G41:G46)</f>
        <v>55256</v>
      </c>
      <c r="H47" s="82">
        <f>SUM(H41:H46)</f>
        <v>2080</v>
      </c>
      <c r="I47" s="156">
        <f>H47</f>
        <v>2080</v>
      </c>
    </row>
    <row r="48" spans="1:12" x14ac:dyDescent="0.2">
      <c r="A48" s="39"/>
      <c r="B48" s="48"/>
      <c r="C48" s="85"/>
      <c r="D48" s="45"/>
      <c r="E48" s="45"/>
      <c r="F48" s="51"/>
      <c r="G48" s="126"/>
      <c r="H48" s="133"/>
      <c r="I48" s="126"/>
    </row>
    <row r="49" spans="1:15" x14ac:dyDescent="0.2">
      <c r="A49" s="39">
        <v>3111</v>
      </c>
      <c r="B49" s="62">
        <v>5169</v>
      </c>
      <c r="C49" s="85" t="s">
        <v>98</v>
      </c>
      <c r="D49" s="45">
        <v>25</v>
      </c>
      <c r="E49" s="45">
        <v>25</v>
      </c>
      <c r="F49" s="45">
        <v>25410</v>
      </c>
      <c r="G49" s="45">
        <v>25410</v>
      </c>
      <c r="H49" s="72">
        <v>34</v>
      </c>
      <c r="I49" s="126"/>
    </row>
    <row r="50" spans="1:15" ht="15" customHeight="1" x14ac:dyDescent="0.2">
      <c r="A50" s="40">
        <v>3111</v>
      </c>
      <c r="B50" s="50">
        <v>5169</v>
      </c>
      <c r="C50" s="85" t="s">
        <v>174</v>
      </c>
      <c r="D50" s="46">
        <v>60</v>
      </c>
      <c r="E50" s="46">
        <v>60</v>
      </c>
      <c r="F50" s="46">
        <v>58491.4</v>
      </c>
      <c r="G50" s="46">
        <v>58491.4</v>
      </c>
      <c r="H50" s="72">
        <v>0</v>
      </c>
      <c r="I50" s="126"/>
    </row>
    <row r="51" spans="1:15" x14ac:dyDescent="0.2">
      <c r="A51" s="40">
        <v>3111</v>
      </c>
      <c r="B51" s="50">
        <v>5194</v>
      </c>
      <c r="C51" s="296" t="s">
        <v>32</v>
      </c>
      <c r="D51" s="46">
        <v>5</v>
      </c>
      <c r="E51" s="46">
        <v>5</v>
      </c>
      <c r="F51" s="46">
        <v>5180</v>
      </c>
      <c r="G51" s="46">
        <v>5180</v>
      </c>
      <c r="H51" s="72">
        <v>6</v>
      </c>
      <c r="I51" s="126"/>
    </row>
    <row r="52" spans="1:15" ht="30" customHeight="1" x14ac:dyDescent="0.2">
      <c r="A52" s="40">
        <v>3111</v>
      </c>
      <c r="B52" s="50">
        <v>5331</v>
      </c>
      <c r="C52" s="296" t="s">
        <v>242</v>
      </c>
      <c r="D52" s="46">
        <v>1484</v>
      </c>
      <c r="E52" s="46">
        <v>1484</v>
      </c>
      <c r="F52" s="46">
        <v>1484000</v>
      </c>
      <c r="G52" s="46">
        <v>1484000</v>
      </c>
      <c r="H52" s="72">
        <v>1484</v>
      </c>
      <c r="I52" s="126"/>
    </row>
    <row r="53" spans="1:15" ht="45" customHeight="1" x14ac:dyDescent="0.2">
      <c r="A53" s="40">
        <v>3111</v>
      </c>
      <c r="B53" s="50">
        <v>5331</v>
      </c>
      <c r="C53" s="85" t="s">
        <v>243</v>
      </c>
      <c r="D53" s="46">
        <v>0</v>
      </c>
      <c r="E53" s="46">
        <v>170</v>
      </c>
      <c r="F53" s="46">
        <v>0</v>
      </c>
      <c r="G53" s="46">
        <v>0</v>
      </c>
      <c r="H53" s="72">
        <v>170</v>
      </c>
      <c r="I53" s="126"/>
    </row>
    <row r="54" spans="1:15" ht="32.25" customHeight="1" x14ac:dyDescent="0.2">
      <c r="A54" s="40">
        <v>3111</v>
      </c>
      <c r="B54" s="50">
        <v>5336</v>
      </c>
      <c r="C54" s="296" t="s">
        <v>140</v>
      </c>
      <c r="D54" s="46">
        <v>0</v>
      </c>
      <c r="E54" s="46">
        <v>124.4</v>
      </c>
      <c r="F54" s="46">
        <v>124400</v>
      </c>
      <c r="G54" s="46">
        <v>124400</v>
      </c>
      <c r="H54" s="72">
        <v>0</v>
      </c>
      <c r="I54" s="126"/>
    </row>
    <row r="55" spans="1:15" ht="32.25" customHeight="1" x14ac:dyDescent="0.2">
      <c r="A55" s="40">
        <v>3111</v>
      </c>
      <c r="B55" s="50">
        <v>5336</v>
      </c>
      <c r="C55" s="296" t="s">
        <v>345</v>
      </c>
      <c r="D55" s="46"/>
      <c r="E55" s="46"/>
      <c r="F55" s="46">
        <f>207099+207099</f>
        <v>414198</v>
      </c>
      <c r="G55" s="46">
        <f>207099+207099</f>
        <v>414198</v>
      </c>
      <c r="H55" s="72"/>
      <c r="I55" s="126"/>
    </row>
    <row r="56" spans="1:15" ht="32.25" customHeight="1" x14ac:dyDescent="0.2">
      <c r="A56" s="40">
        <v>3111</v>
      </c>
      <c r="B56" s="50">
        <v>5171</v>
      </c>
      <c r="C56" s="296" t="s">
        <v>244</v>
      </c>
      <c r="D56" s="46">
        <v>1050</v>
      </c>
      <c r="E56" s="46">
        <v>1050</v>
      </c>
      <c r="F56" s="46">
        <v>953893.38</v>
      </c>
      <c r="G56" s="46">
        <v>953893.38</v>
      </c>
      <c r="H56" s="72">
        <v>0</v>
      </c>
      <c r="I56" s="126"/>
    </row>
    <row r="57" spans="1:15" ht="15.75" x14ac:dyDescent="0.25">
      <c r="A57" s="158">
        <v>3111</v>
      </c>
      <c r="B57" s="159"/>
      <c r="C57" s="160" t="s">
        <v>118</v>
      </c>
      <c r="D57" s="161">
        <f>SUM(D49:D56)</f>
        <v>2624</v>
      </c>
      <c r="E57" s="161">
        <f>SUM(E49:E56)</f>
        <v>2918.4</v>
      </c>
      <c r="F57" s="168">
        <f>SUM(F49:F56)</f>
        <v>3065572.78</v>
      </c>
      <c r="G57" s="168">
        <f>SUM(G49:G56)</f>
        <v>3065572.78</v>
      </c>
      <c r="H57" s="241">
        <f>SUM(H49:H56)</f>
        <v>1694</v>
      </c>
      <c r="I57" s="156">
        <f>H57</f>
        <v>1694</v>
      </c>
    </row>
    <row r="58" spans="1:15" ht="15.75" x14ac:dyDescent="0.25">
      <c r="A58" s="158"/>
      <c r="B58" s="159"/>
      <c r="C58" s="160"/>
      <c r="D58" s="161"/>
      <c r="E58" s="161"/>
      <c r="F58" s="56"/>
      <c r="G58" s="126"/>
      <c r="H58" s="304"/>
      <c r="I58" s="156"/>
    </row>
    <row r="59" spans="1:15" ht="15.75" x14ac:dyDescent="0.25">
      <c r="A59" s="158"/>
      <c r="B59" s="159"/>
      <c r="C59" s="160" t="s">
        <v>213</v>
      </c>
      <c r="D59" s="161"/>
      <c r="E59" s="161"/>
      <c r="F59" s="56"/>
      <c r="G59" s="126"/>
      <c r="H59" s="326"/>
      <c r="I59" s="156"/>
    </row>
    <row r="60" spans="1:15" s="271" customFormat="1" ht="58.5" customHeight="1" x14ac:dyDescent="0.25">
      <c r="A60" s="39">
        <v>3113</v>
      </c>
      <c r="B60" s="62">
        <v>5137</v>
      </c>
      <c r="C60" s="85" t="s">
        <v>320</v>
      </c>
      <c r="D60" s="45">
        <v>180</v>
      </c>
      <c r="E60" s="223">
        <v>1200</v>
      </c>
      <c r="F60" s="223">
        <v>0</v>
      </c>
      <c r="G60" s="223">
        <v>0</v>
      </c>
      <c r="H60" s="72">
        <v>0</v>
      </c>
      <c r="I60" s="126"/>
      <c r="J60" s="12"/>
      <c r="K60" s="272"/>
      <c r="L60" s="272"/>
      <c r="M60" s="272"/>
      <c r="N60" s="272"/>
      <c r="O60" s="272"/>
    </row>
    <row r="61" spans="1:15" s="271" customFormat="1" ht="47.25" x14ac:dyDescent="0.25">
      <c r="A61" s="40">
        <v>3113</v>
      </c>
      <c r="B61" s="50">
        <v>5137</v>
      </c>
      <c r="C61" s="290" t="s">
        <v>321</v>
      </c>
      <c r="D61" s="46">
        <v>0</v>
      </c>
      <c r="E61" s="153">
        <v>74.5</v>
      </c>
      <c r="F61" s="153">
        <v>74490.3</v>
      </c>
      <c r="G61" s="153">
        <v>74490.3</v>
      </c>
      <c r="H61" s="72">
        <v>0</v>
      </c>
      <c r="I61" s="126"/>
      <c r="J61" s="12"/>
      <c r="K61" s="272"/>
      <c r="L61" s="272"/>
      <c r="M61" s="272"/>
      <c r="N61" s="272"/>
      <c r="O61" s="272"/>
    </row>
    <row r="62" spans="1:15" s="271" customFormat="1" ht="46.5" x14ac:dyDescent="0.2">
      <c r="A62" s="40">
        <v>3113</v>
      </c>
      <c r="B62" s="50">
        <v>5137</v>
      </c>
      <c r="C62" s="290" t="s">
        <v>322</v>
      </c>
      <c r="D62" s="46">
        <v>0</v>
      </c>
      <c r="E62" s="153">
        <v>1020</v>
      </c>
      <c r="F62" s="153">
        <v>977513.7</v>
      </c>
      <c r="G62" s="153">
        <v>977513.7</v>
      </c>
      <c r="H62" s="72">
        <v>0</v>
      </c>
      <c r="I62" s="126"/>
      <c r="J62" s="12"/>
      <c r="K62" s="272"/>
      <c r="L62" s="272"/>
      <c r="M62" s="272"/>
      <c r="N62" s="272"/>
      <c r="O62" s="272"/>
    </row>
    <row r="63" spans="1:15" s="271" customFormat="1" ht="31.5" x14ac:dyDescent="0.25">
      <c r="A63" s="40">
        <v>3113</v>
      </c>
      <c r="B63" s="50">
        <v>5139</v>
      </c>
      <c r="C63" s="290" t="s">
        <v>323</v>
      </c>
      <c r="D63" s="46">
        <v>0</v>
      </c>
      <c r="E63" s="153">
        <v>0</v>
      </c>
      <c r="F63" s="153">
        <v>3786</v>
      </c>
      <c r="G63" s="153">
        <v>3786</v>
      </c>
      <c r="H63" s="72">
        <v>0</v>
      </c>
      <c r="I63" s="126"/>
      <c r="J63" s="12"/>
      <c r="K63" s="272"/>
      <c r="L63" s="272"/>
      <c r="M63" s="272"/>
      <c r="N63" s="272"/>
      <c r="O63" s="272"/>
    </row>
    <row r="64" spans="1:15" x14ac:dyDescent="0.2">
      <c r="A64" s="40">
        <v>3113</v>
      </c>
      <c r="B64" s="50">
        <v>5169</v>
      </c>
      <c r="C64" s="290" t="s">
        <v>104</v>
      </c>
      <c r="D64" s="46">
        <v>30</v>
      </c>
      <c r="E64" s="153">
        <v>50</v>
      </c>
      <c r="F64" s="153">
        <v>30280</v>
      </c>
      <c r="G64" s="153">
        <v>30250</v>
      </c>
      <c r="H64" s="72">
        <v>42</v>
      </c>
      <c r="I64" s="126"/>
      <c r="J64" s="38"/>
    </row>
    <row r="65" spans="1:15" ht="30.75" x14ac:dyDescent="0.2">
      <c r="A65" s="40">
        <v>3113</v>
      </c>
      <c r="B65" s="50">
        <v>5169</v>
      </c>
      <c r="C65" s="290" t="s">
        <v>324</v>
      </c>
      <c r="D65" s="46">
        <v>0</v>
      </c>
      <c r="E65" s="153">
        <v>12.1</v>
      </c>
      <c r="F65" s="153">
        <v>12100</v>
      </c>
      <c r="G65" s="153">
        <v>12100</v>
      </c>
      <c r="H65" s="72">
        <v>0</v>
      </c>
      <c r="I65" s="126"/>
      <c r="J65" s="38"/>
    </row>
    <row r="66" spans="1:15" s="13" customFormat="1" ht="30.75" x14ac:dyDescent="0.25">
      <c r="A66" s="40">
        <v>3113</v>
      </c>
      <c r="B66" s="50">
        <v>5172</v>
      </c>
      <c r="C66" s="290" t="s">
        <v>325</v>
      </c>
      <c r="D66" s="46">
        <v>0</v>
      </c>
      <c r="E66" s="153">
        <v>19.2</v>
      </c>
      <c r="F66" s="153">
        <v>19239</v>
      </c>
      <c r="G66" s="153">
        <v>19239</v>
      </c>
      <c r="H66" s="72">
        <v>0</v>
      </c>
      <c r="I66" s="126"/>
      <c r="J66" s="38"/>
      <c r="L66" s="2"/>
      <c r="M66" s="2"/>
      <c r="N66" s="2"/>
      <c r="O66" s="2"/>
    </row>
    <row r="67" spans="1:15" s="13" customFormat="1" x14ac:dyDescent="0.2">
      <c r="A67" s="40">
        <v>3113</v>
      </c>
      <c r="B67" s="50">
        <v>5194</v>
      </c>
      <c r="C67" s="290" t="s">
        <v>326</v>
      </c>
      <c r="D67" s="46">
        <v>30</v>
      </c>
      <c r="E67" s="153">
        <v>75</v>
      </c>
      <c r="F67" s="153">
        <v>59140</v>
      </c>
      <c r="G67" s="153">
        <v>59140</v>
      </c>
      <c r="H67" s="72">
        <v>20</v>
      </c>
      <c r="I67" s="126"/>
      <c r="J67" s="38"/>
      <c r="L67" s="2"/>
      <c r="M67" s="2"/>
      <c r="N67" s="2"/>
      <c r="O67" s="2"/>
    </row>
    <row r="68" spans="1:15" s="13" customFormat="1" ht="30" x14ac:dyDescent="0.2">
      <c r="A68" s="40">
        <v>3113</v>
      </c>
      <c r="B68" s="50">
        <v>5331</v>
      </c>
      <c r="C68" s="290" t="s">
        <v>245</v>
      </c>
      <c r="D68" s="46">
        <v>4400</v>
      </c>
      <c r="E68" s="153">
        <v>4500</v>
      </c>
      <c r="F68" s="153">
        <v>4500000</v>
      </c>
      <c r="G68" s="153">
        <v>4500000</v>
      </c>
      <c r="H68" s="72">
        <v>4400</v>
      </c>
      <c r="I68" s="126"/>
      <c r="J68" s="38"/>
      <c r="L68" s="2"/>
      <c r="M68" s="2"/>
      <c r="N68" s="2"/>
      <c r="O68" s="2"/>
    </row>
    <row r="69" spans="1:15" s="13" customFormat="1" ht="60" x14ac:dyDescent="0.2">
      <c r="A69" s="40">
        <v>3113</v>
      </c>
      <c r="B69" s="50">
        <v>5331</v>
      </c>
      <c r="C69" s="305" t="s">
        <v>327</v>
      </c>
      <c r="D69" s="46">
        <v>150</v>
      </c>
      <c r="E69" s="153">
        <v>250</v>
      </c>
      <c r="F69" s="153">
        <v>0</v>
      </c>
      <c r="G69" s="153">
        <v>0</v>
      </c>
      <c r="H69" s="72">
        <v>250</v>
      </c>
      <c r="I69" s="126"/>
      <c r="J69" s="38"/>
      <c r="L69" s="2"/>
      <c r="M69" s="2"/>
      <c r="N69" s="2"/>
      <c r="O69" s="2"/>
    </row>
    <row r="70" spans="1:15" s="13" customFormat="1" x14ac:dyDescent="0.2">
      <c r="A70" s="40">
        <v>3113</v>
      </c>
      <c r="B70" s="50">
        <v>5336</v>
      </c>
      <c r="C70" s="290" t="s">
        <v>107</v>
      </c>
      <c r="D70" s="46"/>
      <c r="E70" s="153"/>
      <c r="F70" s="153"/>
      <c r="G70" s="153"/>
      <c r="H70" s="72">
        <v>0</v>
      </c>
      <c r="I70" s="126"/>
      <c r="J70" s="38"/>
      <c r="L70" s="2"/>
      <c r="M70" s="2"/>
      <c r="N70" s="2"/>
      <c r="O70" s="2"/>
    </row>
    <row r="71" spans="1:15" s="13" customFormat="1" x14ac:dyDescent="0.2">
      <c r="A71" s="40"/>
      <c r="B71" s="50"/>
      <c r="C71" s="290" t="s">
        <v>175</v>
      </c>
      <c r="D71" s="46">
        <v>0</v>
      </c>
      <c r="E71" s="153">
        <v>22.5</v>
      </c>
      <c r="F71" s="153">
        <v>22500</v>
      </c>
      <c r="G71" s="153">
        <v>22500</v>
      </c>
      <c r="H71" s="72">
        <v>0</v>
      </c>
      <c r="I71" s="126"/>
      <c r="J71" s="38"/>
      <c r="L71" s="2"/>
      <c r="M71" s="2"/>
      <c r="N71" s="2"/>
      <c r="O71" s="2"/>
    </row>
    <row r="72" spans="1:15" s="13" customFormat="1" x14ac:dyDescent="0.2">
      <c r="A72" s="40"/>
      <c r="B72" s="50"/>
      <c r="C72" s="290" t="s">
        <v>111</v>
      </c>
      <c r="D72" s="46">
        <v>0</v>
      </c>
      <c r="E72" s="153">
        <v>216.6</v>
      </c>
      <c r="F72" s="153">
        <v>216600</v>
      </c>
      <c r="G72" s="153">
        <v>216600</v>
      </c>
      <c r="H72" s="72">
        <v>0</v>
      </c>
      <c r="I72" s="126"/>
      <c r="J72" s="38"/>
      <c r="L72" s="2"/>
      <c r="M72" s="2"/>
      <c r="N72" s="2"/>
      <c r="O72" s="2"/>
    </row>
    <row r="73" spans="1:15" s="13" customFormat="1" x14ac:dyDescent="0.2">
      <c r="A73" s="40"/>
      <c r="B73" s="50"/>
      <c r="C73" s="290" t="s">
        <v>141</v>
      </c>
      <c r="D73" s="46">
        <v>0</v>
      </c>
      <c r="E73" s="153">
        <v>378.8</v>
      </c>
      <c r="F73" s="153">
        <v>378800</v>
      </c>
      <c r="G73" s="153">
        <v>378800</v>
      </c>
      <c r="H73" s="72">
        <v>0</v>
      </c>
      <c r="I73" s="265"/>
      <c r="J73" s="38"/>
      <c r="L73" s="2"/>
      <c r="M73" s="2"/>
      <c r="N73" s="2"/>
      <c r="O73" s="2"/>
    </row>
    <row r="74" spans="1:15" s="13" customFormat="1" ht="30" x14ac:dyDescent="0.2">
      <c r="A74" s="40"/>
      <c r="B74" s="50"/>
      <c r="C74" s="290" t="s">
        <v>246</v>
      </c>
      <c r="D74" s="46">
        <v>0</v>
      </c>
      <c r="E74" s="153">
        <v>1003.3</v>
      </c>
      <c r="F74" s="153">
        <v>694545.5</v>
      </c>
      <c r="G74" s="153">
        <v>694545.5</v>
      </c>
      <c r="H74" s="72">
        <v>0</v>
      </c>
      <c r="I74" s="265"/>
      <c r="L74" s="2"/>
      <c r="M74" s="2"/>
      <c r="N74" s="2"/>
      <c r="O74" s="2"/>
    </row>
    <row r="75" spans="1:15" s="13" customFormat="1" ht="30" x14ac:dyDescent="0.2">
      <c r="A75" s="40"/>
      <c r="B75" s="50"/>
      <c r="C75" s="290" t="s">
        <v>247</v>
      </c>
      <c r="D75" s="46">
        <v>0</v>
      </c>
      <c r="E75" s="153">
        <v>1003.3</v>
      </c>
      <c r="F75" s="153">
        <v>694545.5</v>
      </c>
      <c r="G75" s="153">
        <v>694545.5</v>
      </c>
      <c r="H75" s="72">
        <v>0</v>
      </c>
      <c r="I75" s="265"/>
      <c r="L75" s="2"/>
      <c r="M75" s="2"/>
      <c r="N75" s="2"/>
      <c r="O75" s="2"/>
    </row>
    <row r="76" spans="1:15" s="13" customFormat="1" ht="15.75" x14ac:dyDescent="0.25">
      <c r="A76" s="40">
        <v>3113</v>
      </c>
      <c r="B76" s="50">
        <v>6121</v>
      </c>
      <c r="C76" s="295" t="s">
        <v>176</v>
      </c>
      <c r="D76" s="46"/>
      <c r="E76" s="153"/>
      <c r="F76" s="153"/>
      <c r="G76" s="153"/>
      <c r="H76" s="72"/>
      <c r="I76" s="265"/>
      <c r="J76" s="28"/>
      <c r="L76" s="2"/>
      <c r="M76" s="2"/>
      <c r="N76" s="2"/>
      <c r="O76" s="2"/>
    </row>
    <row r="77" spans="1:15" s="13" customFormat="1" ht="31.5" x14ac:dyDescent="0.25">
      <c r="A77" s="40">
        <v>3113</v>
      </c>
      <c r="B77" s="50">
        <v>6121</v>
      </c>
      <c r="C77" s="295" t="s">
        <v>328</v>
      </c>
      <c r="D77" s="46">
        <v>1000</v>
      </c>
      <c r="E77" s="153">
        <v>1000</v>
      </c>
      <c r="F77" s="153">
        <v>100430</v>
      </c>
      <c r="G77" s="153">
        <v>240800</v>
      </c>
      <c r="H77" s="72">
        <v>242</v>
      </c>
      <c r="I77" s="265"/>
      <c r="J77" s="28"/>
      <c r="L77" s="2"/>
      <c r="M77" s="2"/>
      <c r="N77" s="2"/>
      <c r="O77" s="2"/>
    </row>
    <row r="78" spans="1:15" s="13" customFormat="1" ht="15.75" x14ac:dyDescent="0.25">
      <c r="A78" s="40">
        <v>3113</v>
      </c>
      <c r="B78" s="50">
        <v>6121</v>
      </c>
      <c r="C78" s="295" t="s">
        <v>204</v>
      </c>
      <c r="D78" s="46"/>
      <c r="E78" s="153"/>
      <c r="F78" s="153"/>
      <c r="G78" s="153"/>
      <c r="H78" s="72"/>
      <c r="I78" s="265"/>
      <c r="J78" s="28"/>
      <c r="L78" s="2"/>
      <c r="M78" s="2"/>
      <c r="N78" s="2"/>
      <c r="O78" s="2"/>
    </row>
    <row r="79" spans="1:15" s="13" customFormat="1" x14ac:dyDescent="0.2">
      <c r="A79" s="40"/>
      <c r="B79" s="50"/>
      <c r="C79" s="290" t="s">
        <v>201</v>
      </c>
      <c r="D79" s="46">
        <v>5700</v>
      </c>
      <c r="E79" s="153">
        <v>1628.7</v>
      </c>
      <c r="F79" s="153">
        <v>0</v>
      </c>
      <c r="G79" s="153">
        <v>0</v>
      </c>
      <c r="H79" s="72">
        <v>6000</v>
      </c>
      <c r="I79" s="265"/>
      <c r="J79" s="28"/>
      <c r="L79" s="2"/>
      <c r="M79" s="2"/>
      <c r="N79" s="2"/>
      <c r="O79" s="2"/>
    </row>
    <row r="80" spans="1:15" s="13" customFormat="1" x14ac:dyDescent="0.2">
      <c r="A80" s="40"/>
      <c r="B80" s="50"/>
      <c r="C80" s="290" t="s">
        <v>248</v>
      </c>
      <c r="D80" s="46">
        <v>0</v>
      </c>
      <c r="E80" s="153">
        <v>5371.3</v>
      </c>
      <c r="F80" s="153">
        <v>292200</v>
      </c>
      <c r="G80" s="153">
        <f>292200+6050</f>
        <v>298250</v>
      </c>
      <c r="H80" s="72">
        <v>0</v>
      </c>
      <c r="I80" s="265"/>
      <c r="J80" s="38"/>
      <c r="L80" s="2"/>
      <c r="M80" s="2"/>
      <c r="N80" s="2"/>
      <c r="O80" s="2"/>
    </row>
    <row r="81" spans="1:15" s="13" customFormat="1" ht="31.5" x14ac:dyDescent="0.25">
      <c r="A81" s="40">
        <v>3113</v>
      </c>
      <c r="B81" s="50">
        <v>6121</v>
      </c>
      <c r="C81" s="295" t="s">
        <v>200</v>
      </c>
      <c r="D81" s="46"/>
      <c r="E81" s="153"/>
      <c r="F81" s="153"/>
      <c r="G81" s="153"/>
      <c r="H81" s="72"/>
      <c r="I81" s="265"/>
      <c r="J81" s="38"/>
      <c r="L81" s="2"/>
      <c r="M81" s="2"/>
      <c r="N81" s="2"/>
      <c r="O81" s="2"/>
    </row>
    <row r="82" spans="1:15" s="10" customFormat="1" x14ac:dyDescent="0.2">
      <c r="A82" s="40"/>
      <c r="B82" s="50"/>
      <c r="C82" s="290" t="s">
        <v>201</v>
      </c>
      <c r="D82" s="46">
        <v>10800</v>
      </c>
      <c r="E82" s="153">
        <v>800</v>
      </c>
      <c r="F82" s="153">
        <v>0</v>
      </c>
      <c r="G82" s="153">
        <v>0</v>
      </c>
      <c r="H82" s="72">
        <v>0</v>
      </c>
      <c r="I82" s="265"/>
      <c r="J82" s="38"/>
      <c r="K82" s="13"/>
      <c r="L82" s="8"/>
      <c r="M82" s="8"/>
      <c r="N82" s="8"/>
      <c r="O82" s="8"/>
    </row>
    <row r="83" spans="1:15" s="10" customFormat="1" x14ac:dyDescent="0.2">
      <c r="A83" s="40"/>
      <c r="B83" s="50"/>
      <c r="C83" s="290" t="s">
        <v>248</v>
      </c>
      <c r="D83" s="46">
        <v>0</v>
      </c>
      <c r="E83" s="153">
        <v>10795</v>
      </c>
      <c r="F83" s="153">
        <f>7238669.04+8470</f>
        <v>7247139.04</v>
      </c>
      <c r="G83" s="153">
        <f>7238669.04+8470+8470+2332854.44+8470</f>
        <v>9596933.4800000004</v>
      </c>
      <c r="H83" s="72">
        <v>0</v>
      </c>
      <c r="I83" s="265"/>
      <c r="J83" s="38"/>
      <c r="K83" s="13"/>
      <c r="L83" s="8"/>
      <c r="M83" s="8"/>
      <c r="N83" s="8"/>
      <c r="O83" s="8"/>
    </row>
    <row r="84" spans="1:15" s="10" customFormat="1" ht="31.5" x14ac:dyDescent="0.25">
      <c r="A84" s="40">
        <v>3113</v>
      </c>
      <c r="B84" s="50">
        <v>6121</v>
      </c>
      <c r="C84" s="295" t="s">
        <v>249</v>
      </c>
      <c r="D84" s="46"/>
      <c r="E84" s="153"/>
      <c r="F84" s="153"/>
      <c r="G84" s="153"/>
      <c r="H84" s="72"/>
      <c r="I84" s="265"/>
      <c r="J84" s="38"/>
      <c r="K84" s="13"/>
      <c r="L84" s="8"/>
      <c r="M84" s="8"/>
      <c r="N84" s="8"/>
      <c r="O84" s="8"/>
    </row>
    <row r="85" spans="1:15" s="10" customFormat="1" x14ac:dyDescent="0.2">
      <c r="A85" s="40"/>
      <c r="B85" s="50"/>
      <c r="C85" s="297" t="s">
        <v>201</v>
      </c>
      <c r="D85" s="46"/>
      <c r="E85" s="153"/>
      <c r="F85" s="153"/>
      <c r="G85" s="153"/>
      <c r="H85" s="72"/>
      <c r="I85" s="265"/>
      <c r="J85" s="28"/>
      <c r="K85" s="13"/>
      <c r="L85" s="8"/>
      <c r="M85" s="8"/>
      <c r="N85" s="8"/>
      <c r="O85" s="8"/>
    </row>
    <row r="86" spans="1:15" s="10" customFormat="1" ht="30" x14ac:dyDescent="0.2">
      <c r="A86" s="40"/>
      <c r="B86" s="50"/>
      <c r="C86" s="290" t="s">
        <v>250</v>
      </c>
      <c r="D86" s="46">
        <v>2423.8000000000002</v>
      </c>
      <c r="E86" s="153">
        <v>1274.7</v>
      </c>
      <c r="F86" s="153">
        <v>69367.240000000005</v>
      </c>
      <c r="G86" s="153">
        <v>69367.240000000005</v>
      </c>
      <c r="H86" s="72">
        <v>0</v>
      </c>
      <c r="I86" s="265"/>
      <c r="J86" s="28"/>
      <c r="K86" s="13"/>
      <c r="L86" s="8"/>
      <c r="M86" s="8"/>
      <c r="N86" s="8"/>
      <c r="O86" s="8"/>
    </row>
    <row r="87" spans="1:15" s="10" customFormat="1" ht="30" x14ac:dyDescent="0.2">
      <c r="A87" s="40"/>
      <c r="B87" s="50"/>
      <c r="C87" s="290" t="s">
        <v>251</v>
      </c>
      <c r="D87" s="46">
        <v>6576.2</v>
      </c>
      <c r="E87" s="153">
        <v>6576.2</v>
      </c>
      <c r="F87" s="153">
        <v>0</v>
      </c>
      <c r="G87" s="153">
        <v>0</v>
      </c>
      <c r="H87" s="72">
        <v>0</v>
      </c>
      <c r="I87" s="265"/>
      <c r="J87" s="38"/>
      <c r="K87" s="13"/>
      <c r="L87" s="8"/>
      <c r="M87" s="8"/>
      <c r="N87" s="8"/>
      <c r="O87" s="8"/>
    </row>
    <row r="88" spans="1:15" s="10" customFormat="1" x14ac:dyDescent="0.2">
      <c r="A88" s="40"/>
      <c r="B88" s="50"/>
      <c r="C88" s="297" t="s">
        <v>205</v>
      </c>
      <c r="D88" s="46"/>
      <c r="E88" s="153"/>
      <c r="F88" s="153"/>
      <c r="G88" s="153"/>
      <c r="H88" s="72"/>
      <c r="I88" s="265"/>
      <c r="J88" s="38"/>
      <c r="K88" s="13"/>
      <c r="L88" s="8"/>
      <c r="M88" s="8"/>
      <c r="N88" s="8"/>
      <c r="O88" s="8"/>
    </row>
    <row r="89" spans="1:15" s="10" customFormat="1" x14ac:dyDescent="0.2">
      <c r="A89" s="40"/>
      <c r="B89" s="50"/>
      <c r="C89" s="290" t="s">
        <v>252</v>
      </c>
      <c r="D89" s="46">
        <v>0</v>
      </c>
      <c r="E89" s="153">
        <v>1927.8</v>
      </c>
      <c r="F89" s="153">
        <v>1927742</v>
      </c>
      <c r="G89" s="153">
        <v>1927742</v>
      </c>
      <c r="H89" s="72">
        <v>0</v>
      </c>
      <c r="I89" s="265"/>
      <c r="J89" s="38"/>
      <c r="K89" s="13"/>
      <c r="L89" s="8"/>
      <c r="M89" s="8"/>
      <c r="N89" s="8"/>
      <c r="O89" s="8"/>
    </row>
    <row r="90" spans="1:15" s="10" customFormat="1" x14ac:dyDescent="0.2">
      <c r="A90" s="40"/>
      <c r="B90" s="50"/>
      <c r="C90" s="297" t="s">
        <v>202</v>
      </c>
      <c r="D90" s="46"/>
      <c r="E90" s="153"/>
      <c r="F90" s="153"/>
      <c r="G90" s="153"/>
      <c r="H90" s="72"/>
      <c r="I90" s="265"/>
      <c r="J90" s="38"/>
      <c r="K90" s="13"/>
      <c r="L90" s="8"/>
      <c r="M90" s="8"/>
      <c r="N90" s="8"/>
      <c r="O90" s="8"/>
    </row>
    <row r="91" spans="1:15" s="10" customFormat="1" x14ac:dyDescent="0.2">
      <c r="A91" s="40"/>
      <c r="B91" s="50"/>
      <c r="C91" s="290" t="s">
        <v>253</v>
      </c>
      <c r="D91" s="46">
        <v>0</v>
      </c>
      <c r="E91" s="153">
        <v>9276.2000000000007</v>
      </c>
      <c r="F91" s="153">
        <v>9276235</v>
      </c>
      <c r="G91" s="153">
        <v>9276235</v>
      </c>
      <c r="H91" s="72">
        <v>0</v>
      </c>
      <c r="I91" s="265"/>
      <c r="J91" s="38"/>
      <c r="K91" s="13"/>
      <c r="L91" s="8"/>
      <c r="M91" s="8"/>
      <c r="N91" s="8"/>
      <c r="O91" s="8"/>
    </row>
    <row r="92" spans="1:15" s="10" customFormat="1" ht="42" customHeight="1" x14ac:dyDescent="0.25">
      <c r="A92" s="40">
        <v>3113</v>
      </c>
      <c r="B92" s="50">
        <v>6122</v>
      </c>
      <c r="C92" s="290" t="s">
        <v>254</v>
      </c>
      <c r="D92" s="46">
        <v>0</v>
      </c>
      <c r="E92" s="153">
        <v>345.7</v>
      </c>
      <c r="F92" s="153">
        <f>271532.12+74170.7</f>
        <v>345702.82</v>
      </c>
      <c r="G92" s="153">
        <f>271532.12+74170.7</f>
        <v>345702.82</v>
      </c>
      <c r="H92" s="72">
        <v>0</v>
      </c>
      <c r="I92" s="265"/>
      <c r="J92" s="38"/>
      <c r="K92" s="13"/>
      <c r="L92" s="8"/>
      <c r="M92" s="8"/>
      <c r="N92" s="8"/>
      <c r="O92" s="8"/>
    </row>
    <row r="93" spans="1:15" s="10" customFormat="1" ht="31.5" x14ac:dyDescent="0.25">
      <c r="A93" s="40">
        <v>3113</v>
      </c>
      <c r="B93" s="50">
        <v>6122</v>
      </c>
      <c r="C93" s="290" t="s">
        <v>255</v>
      </c>
      <c r="D93" s="46">
        <v>0</v>
      </c>
      <c r="E93" s="153">
        <v>109.1</v>
      </c>
      <c r="F93" s="153">
        <f>109118.88-74170.7</f>
        <v>34948.180000000008</v>
      </c>
      <c r="G93" s="153">
        <f>109118.88-74170.7</f>
        <v>34948.180000000008</v>
      </c>
      <c r="H93" s="72">
        <v>0</v>
      </c>
      <c r="I93" s="265"/>
      <c r="J93" s="38"/>
      <c r="K93" s="13"/>
      <c r="L93" s="8"/>
      <c r="M93" s="8"/>
      <c r="N93" s="8"/>
      <c r="O93" s="8"/>
    </row>
    <row r="94" spans="1:15" s="10" customFormat="1" ht="15.75" x14ac:dyDescent="0.25">
      <c r="A94" s="164">
        <v>3113</v>
      </c>
      <c r="B94" s="165"/>
      <c r="C94" s="166" t="s">
        <v>93</v>
      </c>
      <c r="D94" s="157">
        <f>SUM(D60:D93)</f>
        <v>31290</v>
      </c>
      <c r="E94" s="157">
        <f>SUM(E60:E93)</f>
        <v>48929.999999999993</v>
      </c>
      <c r="F94" s="157">
        <f>SUM(F60:F93)</f>
        <v>26977304.280000001</v>
      </c>
      <c r="G94" s="157">
        <f>SUM(G60:G93)</f>
        <v>29473488.719999999</v>
      </c>
      <c r="H94" s="57">
        <f>SUM(H60:H93)</f>
        <v>10954</v>
      </c>
      <c r="I94" s="156">
        <f>H94</f>
        <v>10954</v>
      </c>
      <c r="J94" s="38"/>
      <c r="K94" s="13"/>
      <c r="L94" s="8"/>
      <c r="M94" s="8"/>
      <c r="N94" s="8"/>
      <c r="O94" s="8"/>
    </row>
    <row r="95" spans="1:15" ht="15.75" x14ac:dyDescent="0.25">
      <c r="A95" s="158"/>
      <c r="B95" s="159"/>
      <c r="C95" s="160"/>
      <c r="D95" s="161"/>
      <c r="E95" s="45"/>
      <c r="F95" s="45"/>
      <c r="G95" s="126"/>
      <c r="H95" s="133"/>
      <c r="I95" s="126"/>
      <c r="J95" s="38"/>
    </row>
    <row r="96" spans="1:15" x14ac:dyDescent="0.2">
      <c r="A96" s="169">
        <v>3314</v>
      </c>
      <c r="B96" s="170">
        <v>5011</v>
      </c>
      <c r="C96" s="225" t="s">
        <v>22</v>
      </c>
      <c r="D96" s="45">
        <v>0</v>
      </c>
      <c r="E96" s="223">
        <v>0</v>
      </c>
      <c r="F96" s="153">
        <v>0</v>
      </c>
      <c r="G96" s="153">
        <v>0</v>
      </c>
      <c r="H96" s="72">
        <v>302</v>
      </c>
      <c r="I96" s="126"/>
      <c r="J96" s="38"/>
    </row>
    <row r="97" spans="1:10" x14ac:dyDescent="0.2">
      <c r="A97" s="169">
        <v>3314</v>
      </c>
      <c r="B97" s="170">
        <v>5021</v>
      </c>
      <c r="C97" s="183" t="s">
        <v>25</v>
      </c>
      <c r="D97" s="45">
        <v>260</v>
      </c>
      <c r="E97" s="223">
        <v>260</v>
      </c>
      <c r="F97" s="153">
        <v>140651</v>
      </c>
      <c r="G97" s="153">
        <f>140654+7105+7105+5000</f>
        <v>159864</v>
      </c>
      <c r="H97" s="72">
        <v>26</v>
      </c>
      <c r="I97" s="126"/>
      <c r="J97" s="38"/>
    </row>
    <row r="98" spans="1:10" x14ac:dyDescent="0.2">
      <c r="A98" s="60">
        <v>3314</v>
      </c>
      <c r="B98" s="97">
        <v>5031</v>
      </c>
      <c r="C98" s="291" t="s">
        <v>48</v>
      </c>
      <c r="D98" s="46">
        <v>65</v>
      </c>
      <c r="E98" s="153">
        <v>65</v>
      </c>
      <c r="F98" s="153">
        <v>32299</v>
      </c>
      <c r="G98" s="153">
        <v>33000</v>
      </c>
      <c r="H98" s="72">
        <v>85</v>
      </c>
      <c r="I98" s="126"/>
      <c r="J98" s="38"/>
    </row>
    <row r="99" spans="1:10" x14ac:dyDescent="0.2">
      <c r="A99" s="60">
        <v>3314</v>
      </c>
      <c r="B99" s="97">
        <v>5032</v>
      </c>
      <c r="C99" s="291" t="s">
        <v>46</v>
      </c>
      <c r="D99" s="46">
        <v>24</v>
      </c>
      <c r="E99" s="153">
        <v>24</v>
      </c>
      <c r="F99" s="153">
        <v>11625</v>
      </c>
      <c r="G99" s="153">
        <v>12000</v>
      </c>
      <c r="H99" s="72">
        <v>29</v>
      </c>
      <c r="I99" s="126"/>
      <c r="J99" s="38"/>
    </row>
    <row r="100" spans="1:10" x14ac:dyDescent="0.2">
      <c r="A100" s="60">
        <v>3314</v>
      </c>
      <c r="B100" s="97">
        <v>5136</v>
      </c>
      <c r="C100" s="291" t="s">
        <v>88</v>
      </c>
      <c r="D100" s="46">
        <v>35</v>
      </c>
      <c r="E100" s="153">
        <v>35</v>
      </c>
      <c r="F100" s="153">
        <v>10523.5</v>
      </c>
      <c r="G100" s="153">
        <v>15000</v>
      </c>
      <c r="H100" s="72">
        <v>35</v>
      </c>
      <c r="I100" s="126"/>
      <c r="J100" s="38"/>
    </row>
    <row r="101" spans="1:10" x14ac:dyDescent="0.2">
      <c r="A101" s="60"/>
      <c r="B101" s="97"/>
      <c r="C101" s="291" t="s">
        <v>89</v>
      </c>
      <c r="D101" s="46">
        <v>0</v>
      </c>
      <c r="E101" s="153">
        <v>14.5</v>
      </c>
      <c r="F101" s="153">
        <v>14500</v>
      </c>
      <c r="G101" s="153">
        <v>14500</v>
      </c>
      <c r="H101" s="72">
        <v>0</v>
      </c>
      <c r="I101" s="126"/>
      <c r="J101" s="38"/>
    </row>
    <row r="102" spans="1:10" x14ac:dyDescent="0.2">
      <c r="A102" s="60">
        <v>3314</v>
      </c>
      <c r="B102" s="97">
        <v>5137</v>
      </c>
      <c r="C102" s="291" t="s">
        <v>50</v>
      </c>
      <c r="D102" s="46">
        <v>6</v>
      </c>
      <c r="E102" s="153">
        <v>6</v>
      </c>
      <c r="F102" s="153">
        <v>3127</v>
      </c>
      <c r="G102" s="153">
        <v>3127</v>
      </c>
      <c r="H102" s="72">
        <v>50</v>
      </c>
      <c r="I102" s="126"/>
      <c r="J102" s="38"/>
    </row>
    <row r="103" spans="1:10" ht="30" x14ac:dyDescent="0.2">
      <c r="A103" s="60">
        <v>3314</v>
      </c>
      <c r="B103" s="97">
        <v>5137</v>
      </c>
      <c r="C103" s="291" t="s">
        <v>256</v>
      </c>
      <c r="D103" s="46">
        <v>0</v>
      </c>
      <c r="E103" s="153">
        <v>330.5</v>
      </c>
      <c r="F103" s="153">
        <v>0</v>
      </c>
      <c r="G103" s="153">
        <v>327410.90000000002</v>
      </c>
      <c r="H103" s="72">
        <v>3</v>
      </c>
      <c r="I103" s="126"/>
      <c r="J103" s="38"/>
    </row>
    <row r="104" spans="1:10" x14ac:dyDescent="0.2">
      <c r="A104" s="40">
        <v>3314</v>
      </c>
      <c r="B104" s="50">
        <v>5139</v>
      </c>
      <c r="C104" s="290" t="s">
        <v>8</v>
      </c>
      <c r="D104" s="46">
        <v>5</v>
      </c>
      <c r="E104" s="153">
        <v>5</v>
      </c>
      <c r="F104" s="153">
        <v>1519</v>
      </c>
      <c r="G104" s="153">
        <v>1500</v>
      </c>
      <c r="H104" s="72">
        <v>5</v>
      </c>
      <c r="I104" s="126"/>
      <c r="J104" s="38"/>
    </row>
    <row r="105" spans="1:10" x14ac:dyDescent="0.2">
      <c r="A105" s="40">
        <v>3314</v>
      </c>
      <c r="B105" s="50">
        <v>5151</v>
      </c>
      <c r="C105" s="290" t="s">
        <v>15</v>
      </c>
      <c r="D105" s="46">
        <v>12</v>
      </c>
      <c r="E105" s="153">
        <v>12</v>
      </c>
      <c r="F105" s="153">
        <v>10585</v>
      </c>
      <c r="G105" s="153">
        <f>7855+2730</f>
        <v>10585</v>
      </c>
      <c r="H105" s="72">
        <v>12</v>
      </c>
      <c r="I105" s="126"/>
      <c r="J105" s="38"/>
    </row>
    <row r="106" spans="1:10" x14ac:dyDescent="0.2">
      <c r="A106" s="40">
        <v>3314</v>
      </c>
      <c r="B106" s="50">
        <v>5153</v>
      </c>
      <c r="C106" s="290" t="s">
        <v>16</v>
      </c>
      <c r="D106" s="46">
        <v>105</v>
      </c>
      <c r="E106" s="153">
        <v>105</v>
      </c>
      <c r="F106" s="153">
        <v>93600</v>
      </c>
      <c r="G106" s="153">
        <f>93600+2000</f>
        <v>95600</v>
      </c>
      <c r="H106" s="72">
        <v>105</v>
      </c>
      <c r="I106" s="126"/>
      <c r="J106" s="38"/>
    </row>
    <row r="107" spans="1:10" x14ac:dyDescent="0.2">
      <c r="A107" s="40">
        <v>3314</v>
      </c>
      <c r="B107" s="50">
        <v>5154</v>
      </c>
      <c r="C107" s="290" t="s">
        <v>17</v>
      </c>
      <c r="D107" s="46">
        <v>40</v>
      </c>
      <c r="E107" s="153">
        <v>40</v>
      </c>
      <c r="F107" s="153">
        <v>20820</v>
      </c>
      <c r="G107" s="153">
        <f>20820+7000+1000</f>
        <v>28820</v>
      </c>
      <c r="H107" s="72">
        <v>40</v>
      </c>
      <c r="I107" s="126"/>
      <c r="J107" s="38"/>
    </row>
    <row r="108" spans="1:10" x14ac:dyDescent="0.2">
      <c r="A108" s="40">
        <v>3314</v>
      </c>
      <c r="B108" s="50">
        <v>5162</v>
      </c>
      <c r="C108" s="290" t="s">
        <v>19</v>
      </c>
      <c r="D108" s="46">
        <v>14</v>
      </c>
      <c r="E108" s="153">
        <v>14</v>
      </c>
      <c r="F108" s="153">
        <v>9652.14</v>
      </c>
      <c r="G108" s="153">
        <v>9652.14</v>
      </c>
      <c r="H108" s="72">
        <v>14</v>
      </c>
      <c r="I108" s="126"/>
      <c r="J108" s="244"/>
    </row>
    <row r="109" spans="1:10" x14ac:dyDescent="0.2">
      <c r="A109" s="40">
        <v>3314</v>
      </c>
      <c r="B109" s="50">
        <v>5168</v>
      </c>
      <c r="C109" s="290" t="s">
        <v>126</v>
      </c>
      <c r="D109" s="46">
        <v>23</v>
      </c>
      <c r="E109" s="153">
        <v>23</v>
      </c>
      <c r="F109" s="153">
        <v>15623</v>
      </c>
      <c r="G109" s="153">
        <f>15623+1250</f>
        <v>16873</v>
      </c>
      <c r="H109" s="72">
        <v>23</v>
      </c>
      <c r="I109" s="126"/>
      <c r="J109" s="38"/>
    </row>
    <row r="110" spans="1:10" x14ac:dyDescent="0.2">
      <c r="A110" s="40">
        <v>3314</v>
      </c>
      <c r="B110" s="50">
        <v>5169</v>
      </c>
      <c r="C110" s="290" t="s">
        <v>178</v>
      </c>
      <c r="D110" s="46">
        <v>10</v>
      </c>
      <c r="E110" s="153">
        <v>10</v>
      </c>
      <c r="F110" s="153">
        <v>17101</v>
      </c>
      <c r="G110" s="153">
        <f>17101+39000</f>
        <v>56101</v>
      </c>
      <c r="H110" s="72">
        <v>15</v>
      </c>
      <c r="I110" s="126"/>
      <c r="J110" s="38"/>
    </row>
    <row r="111" spans="1:10" x14ac:dyDescent="0.2">
      <c r="A111" s="40">
        <v>3314</v>
      </c>
      <c r="B111" s="50">
        <v>5171</v>
      </c>
      <c r="C111" s="290" t="s">
        <v>257</v>
      </c>
      <c r="D111" s="46">
        <v>20</v>
      </c>
      <c r="E111" s="153">
        <v>20</v>
      </c>
      <c r="F111" s="153">
        <v>0</v>
      </c>
      <c r="G111" s="153">
        <v>0</v>
      </c>
      <c r="H111" s="72">
        <v>20</v>
      </c>
      <c r="I111" s="126"/>
      <c r="J111" s="38"/>
    </row>
    <row r="112" spans="1:10" x14ac:dyDescent="0.2">
      <c r="A112" s="40">
        <v>3314</v>
      </c>
      <c r="B112" s="50">
        <v>5181</v>
      </c>
      <c r="C112" s="290" t="s">
        <v>177</v>
      </c>
      <c r="D112" s="46">
        <v>0</v>
      </c>
      <c r="E112" s="153">
        <v>0</v>
      </c>
      <c r="F112" s="153">
        <v>0</v>
      </c>
      <c r="G112" s="153">
        <v>0</v>
      </c>
      <c r="H112" s="72">
        <v>0</v>
      </c>
      <c r="I112" s="126"/>
      <c r="J112" s="38"/>
    </row>
    <row r="113" spans="1:15" s="3" customFormat="1" ht="15.75" x14ac:dyDescent="0.25">
      <c r="A113" s="158">
        <v>3314</v>
      </c>
      <c r="B113" s="171"/>
      <c r="C113" s="172" t="s">
        <v>23</v>
      </c>
      <c r="D113" s="168">
        <f>SUM(D96:D112)</f>
        <v>619</v>
      </c>
      <c r="E113" s="161">
        <f>SUM(E96:E112)</f>
        <v>964</v>
      </c>
      <c r="F113" s="168">
        <f>SUM(F96:F112)</f>
        <v>381625.64</v>
      </c>
      <c r="G113" s="168">
        <f>SUM(G96:G112)</f>
        <v>784033.04</v>
      </c>
      <c r="H113" s="57">
        <f>SUM(H96:H112)</f>
        <v>764</v>
      </c>
      <c r="I113" s="116">
        <f>H113</f>
        <v>764</v>
      </c>
      <c r="J113" s="38"/>
      <c r="K113" s="13"/>
      <c r="L113" s="5"/>
      <c r="M113" s="5"/>
      <c r="N113" s="5"/>
      <c r="O113" s="5"/>
    </row>
    <row r="114" spans="1:15" s="3" customFormat="1" ht="15.75" x14ac:dyDescent="0.25">
      <c r="A114" s="158"/>
      <c r="B114" s="171"/>
      <c r="C114" s="162"/>
      <c r="D114" s="168"/>
      <c r="E114" s="161"/>
      <c r="F114" s="168"/>
      <c r="G114" s="161"/>
      <c r="H114" s="229"/>
      <c r="I114" s="116"/>
      <c r="J114" s="38"/>
      <c r="K114" s="13"/>
      <c r="L114" s="5"/>
      <c r="M114" s="5"/>
      <c r="N114" s="5"/>
      <c r="O114" s="5"/>
    </row>
    <row r="115" spans="1:15" x14ac:dyDescent="0.2">
      <c r="A115" s="39">
        <v>3319</v>
      </c>
      <c r="B115" s="62">
        <v>5021</v>
      </c>
      <c r="C115" s="85" t="s">
        <v>25</v>
      </c>
      <c r="D115" s="45">
        <v>340</v>
      </c>
      <c r="E115" s="223">
        <v>340</v>
      </c>
      <c r="F115" s="45">
        <v>254800</v>
      </c>
      <c r="G115" s="45">
        <v>340000</v>
      </c>
      <c r="H115" s="72">
        <f>374+36</f>
        <v>410</v>
      </c>
      <c r="I115" s="126"/>
      <c r="J115" s="38"/>
    </row>
    <row r="116" spans="1:15" x14ac:dyDescent="0.2">
      <c r="A116" s="40">
        <v>3319</v>
      </c>
      <c r="B116" s="50">
        <v>5031</v>
      </c>
      <c r="C116" s="290" t="s">
        <v>56</v>
      </c>
      <c r="D116" s="46">
        <v>21</v>
      </c>
      <c r="E116" s="153">
        <v>21</v>
      </c>
      <c r="F116" s="46">
        <v>17500</v>
      </c>
      <c r="G116" s="46">
        <v>21000</v>
      </c>
      <c r="H116" s="72">
        <v>24</v>
      </c>
      <c r="I116" s="126"/>
      <c r="J116" s="38"/>
    </row>
    <row r="117" spans="1:15" x14ac:dyDescent="0.2">
      <c r="A117" s="40">
        <v>3319</v>
      </c>
      <c r="B117" s="50">
        <v>5032</v>
      </c>
      <c r="C117" s="290" t="s">
        <v>46</v>
      </c>
      <c r="D117" s="46">
        <v>8</v>
      </c>
      <c r="E117" s="153">
        <v>8</v>
      </c>
      <c r="F117" s="46">
        <v>6300</v>
      </c>
      <c r="G117" s="46">
        <v>8000</v>
      </c>
      <c r="H117" s="72">
        <v>11</v>
      </c>
      <c r="I117" s="126"/>
      <c r="J117" s="38"/>
    </row>
    <row r="118" spans="1:15" x14ac:dyDescent="0.2">
      <c r="A118" s="40">
        <v>3319</v>
      </c>
      <c r="B118" s="50">
        <v>5041</v>
      </c>
      <c r="C118" s="290" t="s">
        <v>165</v>
      </c>
      <c r="D118" s="46">
        <v>4</v>
      </c>
      <c r="E118" s="153">
        <v>4</v>
      </c>
      <c r="F118" s="46">
        <v>605</v>
      </c>
      <c r="G118" s="46">
        <v>605</v>
      </c>
      <c r="H118" s="72">
        <v>2</v>
      </c>
      <c r="I118" s="126"/>
      <c r="J118" s="38"/>
    </row>
    <row r="119" spans="1:15" x14ac:dyDescent="0.2">
      <c r="A119" s="40">
        <v>3319</v>
      </c>
      <c r="B119" s="50">
        <v>5137</v>
      </c>
      <c r="C119" s="290" t="s">
        <v>51</v>
      </c>
      <c r="D119" s="46">
        <v>4</v>
      </c>
      <c r="E119" s="153">
        <v>4</v>
      </c>
      <c r="F119" s="46">
        <v>0</v>
      </c>
      <c r="G119" s="46">
        <v>0</v>
      </c>
      <c r="H119" s="72">
        <v>4</v>
      </c>
      <c r="I119" s="126"/>
      <c r="J119" s="38"/>
    </row>
    <row r="120" spans="1:15" x14ac:dyDescent="0.2">
      <c r="A120" s="40">
        <v>3319</v>
      </c>
      <c r="B120" s="50">
        <v>5139</v>
      </c>
      <c r="C120" s="290" t="s">
        <v>8</v>
      </c>
      <c r="D120" s="46">
        <v>20</v>
      </c>
      <c r="E120" s="153">
        <v>20</v>
      </c>
      <c r="F120" s="46">
        <v>229</v>
      </c>
      <c r="G120" s="46">
        <v>229</v>
      </c>
      <c r="H120" s="72">
        <v>3</v>
      </c>
      <c r="I120" s="126"/>
      <c r="J120" s="38"/>
    </row>
    <row r="121" spans="1:15" ht="30" x14ac:dyDescent="0.2">
      <c r="A121" s="40">
        <v>3319</v>
      </c>
      <c r="B121" s="50">
        <v>5169</v>
      </c>
      <c r="C121" s="290" t="s">
        <v>346</v>
      </c>
      <c r="D121" s="46">
        <v>360</v>
      </c>
      <c r="E121" s="153">
        <v>360</v>
      </c>
      <c r="F121" s="46">
        <f>247755+5000</f>
        <v>252755</v>
      </c>
      <c r="G121" s="46">
        <v>360000</v>
      </c>
      <c r="H121" s="72">
        <f>360+90</f>
        <v>450</v>
      </c>
      <c r="I121" s="126"/>
      <c r="J121" s="38"/>
    </row>
    <row r="122" spans="1:15" x14ac:dyDescent="0.2">
      <c r="A122" s="40">
        <v>3319</v>
      </c>
      <c r="B122" s="50">
        <v>5175</v>
      </c>
      <c r="C122" s="290" t="s">
        <v>21</v>
      </c>
      <c r="D122" s="46">
        <v>10</v>
      </c>
      <c r="E122" s="153">
        <v>10</v>
      </c>
      <c r="F122" s="46">
        <v>9327</v>
      </c>
      <c r="G122" s="46">
        <v>10000</v>
      </c>
      <c r="H122" s="72">
        <v>10</v>
      </c>
      <c r="I122" s="126"/>
      <c r="J122" s="38"/>
    </row>
    <row r="123" spans="1:15" x14ac:dyDescent="0.2">
      <c r="A123" s="40">
        <v>3319</v>
      </c>
      <c r="B123" s="50">
        <v>5179</v>
      </c>
      <c r="C123" s="290" t="s">
        <v>258</v>
      </c>
      <c r="D123" s="46">
        <v>0</v>
      </c>
      <c r="E123" s="153">
        <v>0</v>
      </c>
      <c r="F123" s="46">
        <v>2278</v>
      </c>
      <c r="G123" s="46">
        <v>2278</v>
      </c>
      <c r="H123" s="72">
        <v>0</v>
      </c>
      <c r="I123" s="126"/>
      <c r="J123" s="38"/>
    </row>
    <row r="124" spans="1:15" x14ac:dyDescent="0.2">
      <c r="A124" s="40">
        <v>3319</v>
      </c>
      <c r="B124" s="50">
        <v>5194</v>
      </c>
      <c r="C124" s="290" t="s">
        <v>259</v>
      </c>
      <c r="D124" s="46">
        <v>6</v>
      </c>
      <c r="E124" s="153">
        <v>6</v>
      </c>
      <c r="F124" s="46">
        <f>11000.05+1448+1780+284</f>
        <v>14512.05</v>
      </c>
      <c r="G124" s="46">
        <f>11000.05+1448+1780+284+1000</f>
        <v>15512.05</v>
      </c>
      <c r="H124" s="72">
        <v>15</v>
      </c>
      <c r="I124" s="126"/>
      <c r="J124" s="38"/>
    </row>
    <row r="125" spans="1:15" x14ac:dyDescent="0.2">
      <c r="A125" s="40">
        <v>3319</v>
      </c>
      <c r="B125" s="50">
        <v>5222</v>
      </c>
      <c r="C125" s="290" t="s">
        <v>206</v>
      </c>
      <c r="D125" s="46">
        <v>17</v>
      </c>
      <c r="E125" s="153">
        <v>0</v>
      </c>
      <c r="F125" s="46">
        <v>0</v>
      </c>
      <c r="G125" s="46">
        <v>0</v>
      </c>
      <c r="H125" s="72">
        <v>17</v>
      </c>
      <c r="I125" s="126"/>
      <c r="J125" s="38"/>
    </row>
    <row r="126" spans="1:15" ht="15.75" x14ac:dyDescent="0.25">
      <c r="A126" s="40">
        <v>3319</v>
      </c>
      <c r="B126" s="50">
        <v>5222</v>
      </c>
      <c r="C126" s="290" t="s">
        <v>260</v>
      </c>
      <c r="D126" s="46">
        <v>0</v>
      </c>
      <c r="E126" s="153">
        <v>12</v>
      </c>
      <c r="F126" s="46">
        <v>12000</v>
      </c>
      <c r="G126" s="46">
        <v>12000</v>
      </c>
      <c r="H126" s="72">
        <v>0</v>
      </c>
      <c r="I126" s="126"/>
      <c r="J126" s="38"/>
    </row>
    <row r="127" spans="1:15" ht="15.75" x14ac:dyDescent="0.25">
      <c r="A127" s="40">
        <v>3319</v>
      </c>
      <c r="B127" s="50">
        <v>5222</v>
      </c>
      <c r="C127" s="290" t="s">
        <v>261</v>
      </c>
      <c r="D127" s="46">
        <v>0</v>
      </c>
      <c r="E127" s="153">
        <v>5</v>
      </c>
      <c r="F127" s="46">
        <v>5000</v>
      </c>
      <c r="G127" s="46">
        <v>5000</v>
      </c>
      <c r="H127" s="72">
        <v>0</v>
      </c>
      <c r="I127" s="126"/>
      <c r="J127" s="38"/>
    </row>
    <row r="128" spans="1:15" x14ac:dyDescent="0.2">
      <c r="A128" s="40">
        <v>3319</v>
      </c>
      <c r="B128" s="50">
        <v>5492</v>
      </c>
      <c r="C128" s="290" t="s">
        <v>179</v>
      </c>
      <c r="D128" s="46">
        <v>10</v>
      </c>
      <c r="E128" s="153">
        <v>10</v>
      </c>
      <c r="F128" s="46">
        <v>0</v>
      </c>
      <c r="G128" s="46">
        <v>10000</v>
      </c>
      <c r="H128" s="72">
        <v>10</v>
      </c>
      <c r="I128" s="126"/>
      <c r="J128" s="38"/>
    </row>
    <row r="129" spans="1:15" ht="30" x14ac:dyDescent="0.2">
      <c r="A129" s="40">
        <v>3319</v>
      </c>
      <c r="B129" s="50">
        <v>5499</v>
      </c>
      <c r="C129" s="290" t="s">
        <v>161</v>
      </c>
      <c r="D129" s="46">
        <v>150</v>
      </c>
      <c r="E129" s="153">
        <v>141.5</v>
      </c>
      <c r="F129" s="46">
        <v>119380</v>
      </c>
      <c r="G129" s="46">
        <v>119380</v>
      </c>
      <c r="H129" s="72">
        <v>150</v>
      </c>
      <c r="I129" s="126"/>
      <c r="J129" s="38"/>
    </row>
    <row r="130" spans="1:15" ht="30" x14ac:dyDescent="0.2">
      <c r="A130" s="40">
        <v>3319</v>
      </c>
      <c r="B130" s="50">
        <v>5499</v>
      </c>
      <c r="C130" s="290" t="s">
        <v>262</v>
      </c>
      <c r="D130" s="46">
        <v>0</v>
      </c>
      <c r="E130" s="153">
        <v>8.5</v>
      </c>
      <c r="F130" s="46">
        <v>8500</v>
      </c>
      <c r="G130" s="46">
        <v>8500</v>
      </c>
      <c r="H130" s="72">
        <v>0</v>
      </c>
      <c r="I130" s="126"/>
      <c r="J130" s="38"/>
    </row>
    <row r="131" spans="1:15" s="3" customFormat="1" ht="15.75" x14ac:dyDescent="0.25">
      <c r="A131" s="158">
        <v>3319</v>
      </c>
      <c r="B131" s="159"/>
      <c r="C131" s="160" t="s">
        <v>24</v>
      </c>
      <c r="D131" s="168">
        <f>SUM(D115:D130)</f>
        <v>950</v>
      </c>
      <c r="E131" s="168">
        <f>SUM(E115:E130)</f>
        <v>950</v>
      </c>
      <c r="F131" s="168">
        <f>SUM(F115:F130)</f>
        <v>703186.05</v>
      </c>
      <c r="G131" s="168">
        <f>SUM(G115:G130)</f>
        <v>912504.05</v>
      </c>
      <c r="H131" s="241">
        <f>SUM(H115:H130)</f>
        <v>1106</v>
      </c>
      <c r="I131" s="116">
        <f>H131</f>
        <v>1106</v>
      </c>
      <c r="J131" s="38"/>
      <c r="K131" s="13"/>
      <c r="L131" s="5"/>
      <c r="M131" s="5"/>
      <c r="N131" s="5"/>
      <c r="O131" s="5"/>
    </row>
    <row r="132" spans="1:15" x14ac:dyDescent="0.2">
      <c r="A132" s="39"/>
      <c r="B132" s="48"/>
      <c r="C132" s="85"/>
      <c r="D132" s="51"/>
      <c r="E132" s="45"/>
      <c r="F132" s="51"/>
      <c r="G132" s="126"/>
      <c r="H132" s="133"/>
      <c r="I132" s="126"/>
      <c r="J132" s="38"/>
    </row>
    <row r="133" spans="1:15" x14ac:dyDescent="0.2">
      <c r="A133" s="40">
        <v>3322</v>
      </c>
      <c r="B133" s="50">
        <v>5171</v>
      </c>
      <c r="C133" s="113" t="s">
        <v>142</v>
      </c>
      <c r="D133" s="163">
        <v>15</v>
      </c>
      <c r="E133" s="52">
        <v>24.3</v>
      </c>
      <c r="F133" s="52">
        <v>6891</v>
      </c>
      <c r="G133" s="52">
        <v>6891</v>
      </c>
      <c r="H133" s="72">
        <v>15</v>
      </c>
      <c r="I133" s="126"/>
      <c r="J133" s="38"/>
    </row>
    <row r="134" spans="1:15" ht="19.5" customHeight="1" x14ac:dyDescent="0.2">
      <c r="A134" s="40">
        <v>3322</v>
      </c>
      <c r="B134" s="50">
        <v>5901</v>
      </c>
      <c r="C134" s="330" t="s">
        <v>344</v>
      </c>
      <c r="D134" s="163">
        <v>0</v>
      </c>
      <c r="E134" s="52">
        <v>0</v>
      </c>
      <c r="F134" s="52">
        <v>0</v>
      </c>
      <c r="G134" s="52">
        <v>0</v>
      </c>
      <c r="H134" s="72">
        <v>478</v>
      </c>
      <c r="I134" s="126"/>
      <c r="J134" s="38"/>
    </row>
    <row r="135" spans="1:15" ht="15.75" x14ac:dyDescent="0.25">
      <c r="A135" s="158">
        <v>3322</v>
      </c>
      <c r="B135" s="48"/>
      <c r="C135" s="160" t="s">
        <v>143</v>
      </c>
      <c r="D135" s="168">
        <f>SUM(D133:D134)</f>
        <v>15</v>
      </c>
      <c r="E135" s="168">
        <f t="shared" ref="E135:G135" si="0">SUM(E133:E134)</f>
        <v>24.3</v>
      </c>
      <c r="F135" s="168">
        <f t="shared" si="0"/>
        <v>6891</v>
      </c>
      <c r="G135" s="168">
        <f t="shared" si="0"/>
        <v>6891</v>
      </c>
      <c r="H135" s="241">
        <f>SUM(H133:H134)</f>
        <v>493</v>
      </c>
      <c r="I135" s="156">
        <f>H135</f>
        <v>493</v>
      </c>
      <c r="J135" s="38"/>
    </row>
    <row r="136" spans="1:15" ht="15.75" x14ac:dyDescent="0.25">
      <c r="A136" s="158"/>
      <c r="B136" s="48"/>
      <c r="C136" s="160"/>
      <c r="D136" s="168"/>
      <c r="E136" s="157"/>
      <c r="F136" s="56"/>
      <c r="G136" s="156"/>
      <c r="H136" s="228"/>
      <c r="I136" s="126"/>
      <c r="J136" s="38"/>
    </row>
    <row r="137" spans="1:15" s="12" customFormat="1" x14ac:dyDescent="0.2">
      <c r="A137" s="39">
        <v>3326</v>
      </c>
      <c r="B137" s="62">
        <v>6127</v>
      </c>
      <c r="C137" s="85" t="s">
        <v>163</v>
      </c>
      <c r="D137" s="45">
        <v>150</v>
      </c>
      <c r="E137" s="223">
        <v>150</v>
      </c>
      <c r="F137" s="45">
        <v>108399</v>
      </c>
      <c r="G137" s="45">
        <v>108399</v>
      </c>
      <c r="H137" s="72">
        <v>0</v>
      </c>
      <c r="I137" s="126"/>
      <c r="J137" s="38"/>
      <c r="K137" s="13"/>
      <c r="L137" s="13"/>
      <c r="M137" s="13"/>
      <c r="N137" s="13"/>
      <c r="O137" s="13"/>
    </row>
    <row r="138" spans="1:15" s="12" customFormat="1" ht="45" x14ac:dyDescent="0.2">
      <c r="A138" s="40">
        <v>3326</v>
      </c>
      <c r="B138" s="50">
        <v>6129</v>
      </c>
      <c r="C138" s="290" t="s">
        <v>190</v>
      </c>
      <c r="D138" s="46">
        <v>150</v>
      </c>
      <c r="E138" s="153">
        <v>150</v>
      </c>
      <c r="F138" s="46">
        <v>157062.9</v>
      </c>
      <c r="G138" s="46">
        <v>157062.9</v>
      </c>
      <c r="H138" s="72">
        <v>0</v>
      </c>
      <c r="I138" s="126"/>
      <c r="J138" s="28"/>
      <c r="K138" s="13"/>
      <c r="L138" s="13"/>
      <c r="M138" s="13"/>
      <c r="N138" s="13"/>
      <c r="O138" s="13"/>
    </row>
    <row r="139" spans="1:15" ht="31.5" x14ac:dyDescent="0.25">
      <c r="A139" s="158">
        <v>3326</v>
      </c>
      <c r="B139" s="48"/>
      <c r="C139" s="160" t="s">
        <v>108</v>
      </c>
      <c r="D139" s="168">
        <f>SUM(D137:D138)</f>
        <v>300</v>
      </c>
      <c r="E139" s="168">
        <f>SUM(E137:E138)</f>
        <v>300</v>
      </c>
      <c r="F139" s="168">
        <f>SUM(F137:F138)</f>
        <v>265461.90000000002</v>
      </c>
      <c r="G139" s="168">
        <f>SUM(G137:G138)</f>
        <v>265461.90000000002</v>
      </c>
      <c r="H139" s="57">
        <f>SUM(H137:H138)</f>
        <v>0</v>
      </c>
      <c r="I139" s="156">
        <f>H139</f>
        <v>0</v>
      </c>
      <c r="J139" s="38"/>
    </row>
    <row r="140" spans="1:15" ht="15.75" x14ac:dyDescent="0.25">
      <c r="A140" s="158"/>
      <c r="B140" s="48"/>
      <c r="C140" s="160"/>
      <c r="D140" s="168"/>
      <c r="E140" s="157"/>
      <c r="F140" s="56"/>
      <c r="G140" s="156"/>
      <c r="H140" s="228"/>
      <c r="I140" s="126"/>
      <c r="J140" s="38"/>
    </row>
    <row r="141" spans="1:15" ht="30" x14ac:dyDescent="0.2">
      <c r="A141" s="39">
        <v>3330</v>
      </c>
      <c r="B141" s="48">
        <v>5223</v>
      </c>
      <c r="C141" s="85" t="s">
        <v>97</v>
      </c>
      <c r="D141" s="51">
        <v>32</v>
      </c>
      <c r="E141" s="45">
        <v>32</v>
      </c>
      <c r="F141" s="51">
        <v>32000</v>
      </c>
      <c r="G141" s="51">
        <v>32000</v>
      </c>
      <c r="H141" s="72">
        <v>0</v>
      </c>
      <c r="I141" s="126"/>
      <c r="J141" s="38"/>
    </row>
    <row r="142" spans="1:15" ht="30" x14ac:dyDescent="0.2">
      <c r="A142" s="39">
        <v>3330</v>
      </c>
      <c r="B142" s="48">
        <v>5223</v>
      </c>
      <c r="C142" s="85" t="s">
        <v>263</v>
      </c>
      <c r="D142" s="51">
        <v>0</v>
      </c>
      <c r="E142" s="45">
        <v>0</v>
      </c>
      <c r="F142" s="51">
        <v>0</v>
      </c>
      <c r="G142" s="51">
        <v>10000</v>
      </c>
      <c r="H142" s="72">
        <v>0</v>
      </c>
      <c r="I142" s="126"/>
      <c r="J142" s="38"/>
    </row>
    <row r="143" spans="1:15" x14ac:dyDescent="0.2">
      <c r="A143" s="39">
        <v>3330</v>
      </c>
      <c r="B143" s="48">
        <v>5223</v>
      </c>
      <c r="C143" s="85" t="s">
        <v>208</v>
      </c>
      <c r="D143" s="51"/>
      <c r="E143" s="45"/>
      <c r="F143" s="51"/>
      <c r="G143" s="126"/>
      <c r="H143" s="72">
        <v>32</v>
      </c>
      <c r="I143" s="126"/>
      <c r="J143" s="38"/>
    </row>
    <row r="144" spans="1:15" ht="15.75" x14ac:dyDescent="0.25">
      <c r="A144" s="158">
        <v>3330</v>
      </c>
      <c r="B144" s="48"/>
      <c r="C144" s="160" t="s">
        <v>144</v>
      </c>
      <c r="D144" s="168">
        <f>SUM(D141:D143)</f>
        <v>32</v>
      </c>
      <c r="E144" s="168">
        <f>SUM(E141:E143)</f>
        <v>32</v>
      </c>
      <c r="F144" s="168">
        <f>SUM(F141:F143)</f>
        <v>32000</v>
      </c>
      <c r="G144" s="168">
        <f>SUM(G141:G143)</f>
        <v>42000</v>
      </c>
      <c r="H144" s="57">
        <f>SUM(H141:H143)</f>
        <v>32</v>
      </c>
      <c r="I144" s="156">
        <f>H144</f>
        <v>32</v>
      </c>
      <c r="J144" s="38"/>
    </row>
    <row r="145" spans="1:15" s="10" customFormat="1" ht="15.75" x14ac:dyDescent="0.25">
      <c r="A145" s="39"/>
      <c r="B145" s="159"/>
      <c r="C145" s="173"/>
      <c r="D145" s="160"/>
      <c r="E145" s="168"/>
      <c r="F145" s="56"/>
      <c r="G145" s="156"/>
      <c r="H145" s="228"/>
      <c r="I145" s="156"/>
      <c r="J145" s="28"/>
      <c r="K145" s="13"/>
      <c r="L145" s="8"/>
      <c r="M145" s="8"/>
      <c r="N145" s="8"/>
      <c r="O145" s="8"/>
    </row>
    <row r="146" spans="1:15" s="12" customFormat="1" x14ac:dyDescent="0.2">
      <c r="A146" s="39">
        <v>3412</v>
      </c>
      <c r="B146" s="62">
        <v>5229</v>
      </c>
      <c r="C146" s="85" t="s">
        <v>329</v>
      </c>
      <c r="D146" s="85">
        <v>0</v>
      </c>
      <c r="E146" s="306">
        <v>0</v>
      </c>
      <c r="F146" s="51">
        <v>0</v>
      </c>
      <c r="G146" s="51">
        <v>0</v>
      </c>
      <c r="H146" s="72">
        <v>300</v>
      </c>
      <c r="I146" s="126"/>
      <c r="J146" s="28"/>
      <c r="K146" s="13"/>
      <c r="L146" s="13"/>
      <c r="M146" s="13"/>
      <c r="N146" s="13"/>
      <c r="O146" s="13"/>
    </row>
    <row r="147" spans="1:15" s="10" customFormat="1" ht="30.75" x14ac:dyDescent="0.25">
      <c r="A147" s="39">
        <v>3412</v>
      </c>
      <c r="B147" s="62">
        <v>5229</v>
      </c>
      <c r="C147" s="85" t="s">
        <v>264</v>
      </c>
      <c r="D147" s="45">
        <v>300</v>
      </c>
      <c r="E147" s="223">
        <v>249.5</v>
      </c>
      <c r="F147" s="45">
        <v>249500</v>
      </c>
      <c r="G147" s="45">
        <v>249500</v>
      </c>
      <c r="H147" s="72">
        <v>0</v>
      </c>
      <c r="I147" s="126"/>
      <c r="J147" s="38"/>
      <c r="K147" s="13"/>
      <c r="L147" s="8"/>
      <c r="M147" s="8"/>
      <c r="N147" s="8"/>
      <c r="O147" s="8"/>
    </row>
    <row r="148" spans="1:15" s="10" customFormat="1" ht="30" x14ac:dyDescent="0.2">
      <c r="A148" s="40">
        <v>3412</v>
      </c>
      <c r="B148" s="50">
        <v>5229</v>
      </c>
      <c r="C148" s="290" t="s">
        <v>265</v>
      </c>
      <c r="D148" s="46">
        <v>0</v>
      </c>
      <c r="E148" s="153">
        <v>50.5</v>
      </c>
      <c r="F148" s="46">
        <v>50500</v>
      </c>
      <c r="G148" s="46">
        <v>50500</v>
      </c>
      <c r="H148" s="72">
        <v>0</v>
      </c>
      <c r="I148" s="126"/>
      <c r="J148" s="38"/>
      <c r="K148" s="13"/>
      <c r="L148" s="8"/>
      <c r="M148" s="8"/>
      <c r="N148" s="8"/>
      <c r="O148" s="8"/>
    </row>
    <row r="149" spans="1:15" s="10" customFormat="1" ht="30" x14ac:dyDescent="0.2">
      <c r="A149" s="40">
        <v>3412</v>
      </c>
      <c r="B149" s="50">
        <v>5229</v>
      </c>
      <c r="C149" s="290" t="s">
        <v>266</v>
      </c>
      <c r="D149" s="46">
        <v>0</v>
      </c>
      <c r="E149" s="153">
        <v>0</v>
      </c>
      <c r="F149" s="46">
        <v>0</v>
      </c>
      <c r="G149" s="46">
        <v>0</v>
      </c>
      <c r="H149" s="72">
        <v>0</v>
      </c>
      <c r="I149" s="126"/>
      <c r="J149" s="38"/>
      <c r="K149" s="13"/>
      <c r="L149" s="8"/>
      <c r="M149" s="8"/>
      <c r="N149" s="8"/>
      <c r="O149" s="8"/>
    </row>
    <row r="150" spans="1:15" s="10" customFormat="1" ht="30" x14ac:dyDescent="0.2">
      <c r="A150" s="40">
        <v>3412</v>
      </c>
      <c r="B150" s="50">
        <v>6121</v>
      </c>
      <c r="C150" s="290" t="s">
        <v>267</v>
      </c>
      <c r="D150" s="46">
        <v>0</v>
      </c>
      <c r="E150" s="153">
        <v>108</v>
      </c>
      <c r="F150" s="46">
        <v>40500</v>
      </c>
      <c r="G150" s="46">
        <v>40500</v>
      </c>
      <c r="H150" s="72">
        <v>0</v>
      </c>
      <c r="I150" s="126"/>
      <c r="J150" s="38"/>
      <c r="K150" s="13"/>
      <c r="L150" s="8"/>
      <c r="M150" s="8"/>
      <c r="N150" s="8"/>
      <c r="O150" s="8"/>
    </row>
    <row r="151" spans="1:15" s="10" customFormat="1" ht="30" x14ac:dyDescent="0.2">
      <c r="A151" s="40">
        <v>3412</v>
      </c>
      <c r="B151" s="50">
        <v>6121</v>
      </c>
      <c r="C151" s="290" t="s">
        <v>268</v>
      </c>
      <c r="D151" s="46">
        <v>0</v>
      </c>
      <c r="E151" s="153">
        <v>0</v>
      </c>
      <c r="F151" s="153">
        <v>0</v>
      </c>
      <c r="G151" s="153">
        <v>0</v>
      </c>
      <c r="H151" s="72">
        <v>67.5</v>
      </c>
      <c r="I151" s="126"/>
      <c r="J151" s="38"/>
      <c r="K151" s="13"/>
      <c r="L151" s="8"/>
      <c r="M151" s="8"/>
      <c r="N151" s="8"/>
      <c r="O151" s="8"/>
    </row>
    <row r="152" spans="1:15" s="10" customFormat="1" ht="21" customHeight="1" x14ac:dyDescent="0.2">
      <c r="A152" s="40">
        <v>3412</v>
      </c>
      <c r="B152" s="50">
        <v>5901</v>
      </c>
      <c r="C152" s="305" t="s">
        <v>344</v>
      </c>
      <c r="D152" s="52">
        <v>0</v>
      </c>
      <c r="E152" s="163">
        <v>0</v>
      </c>
      <c r="F152" s="163">
        <v>0</v>
      </c>
      <c r="G152" s="163">
        <v>0</v>
      </c>
      <c r="H152" s="72">
        <v>239</v>
      </c>
      <c r="I152" s="126"/>
      <c r="J152" s="38"/>
      <c r="K152" s="13"/>
      <c r="L152" s="8"/>
      <c r="M152" s="8"/>
      <c r="N152" s="8"/>
      <c r="O152" s="8"/>
    </row>
    <row r="153" spans="1:15" s="6" customFormat="1" ht="15.75" x14ac:dyDescent="0.25">
      <c r="A153" s="174">
        <v>3412</v>
      </c>
      <c r="B153" s="175"/>
      <c r="C153" s="176" t="s">
        <v>87</v>
      </c>
      <c r="D153" s="56">
        <f>SUM(D146:D152)</f>
        <v>300</v>
      </c>
      <c r="E153" s="56">
        <f>SUM(E146:E152)</f>
        <v>408</v>
      </c>
      <c r="F153" s="56">
        <f>SUM(F146:F152)</f>
        <v>340500</v>
      </c>
      <c r="G153" s="56">
        <f>SUM(G146:G152)</f>
        <v>340500</v>
      </c>
      <c r="H153" s="57">
        <f>SUM(H146:H152)</f>
        <v>606.5</v>
      </c>
      <c r="I153" s="156">
        <f>H153</f>
        <v>606.5</v>
      </c>
      <c r="J153" s="38"/>
      <c r="K153" s="13"/>
      <c r="L153" s="7"/>
      <c r="M153" s="7"/>
      <c r="N153" s="7"/>
      <c r="O153" s="7"/>
    </row>
    <row r="154" spans="1:15" s="10" customFormat="1" x14ac:dyDescent="0.2">
      <c r="A154" s="39"/>
      <c r="B154" s="48"/>
      <c r="C154" s="85"/>
      <c r="D154" s="51"/>
      <c r="E154" s="45"/>
      <c r="F154" s="51"/>
      <c r="G154" s="126"/>
      <c r="H154" s="133"/>
      <c r="I154" s="126"/>
      <c r="J154" s="38"/>
      <c r="K154" s="13"/>
      <c r="L154" s="8"/>
      <c r="M154" s="8"/>
      <c r="N154" s="8"/>
      <c r="O154" s="8"/>
    </row>
    <row r="155" spans="1:15" s="10" customFormat="1" x14ac:dyDescent="0.2">
      <c r="A155" s="39">
        <v>3419</v>
      </c>
      <c r="B155" s="62">
        <v>5222</v>
      </c>
      <c r="C155" s="85" t="s">
        <v>206</v>
      </c>
      <c r="D155" s="45">
        <v>200</v>
      </c>
      <c r="E155" s="223">
        <v>0</v>
      </c>
      <c r="F155" s="45">
        <v>0</v>
      </c>
      <c r="G155" s="45">
        <v>0</v>
      </c>
      <c r="H155" s="72">
        <v>200</v>
      </c>
      <c r="I155" s="126"/>
      <c r="J155" s="38"/>
      <c r="K155" s="13"/>
      <c r="L155" s="8"/>
      <c r="M155" s="8"/>
      <c r="N155" s="8"/>
      <c r="O155" s="8"/>
    </row>
    <row r="156" spans="1:15" s="10" customFormat="1" ht="30.75" x14ac:dyDescent="0.2">
      <c r="A156" s="40">
        <v>3419</v>
      </c>
      <c r="B156" s="50">
        <v>5222</v>
      </c>
      <c r="C156" s="290" t="s">
        <v>269</v>
      </c>
      <c r="D156" s="46">
        <v>0</v>
      </c>
      <c r="E156" s="153">
        <v>200</v>
      </c>
      <c r="F156" s="46">
        <v>200000</v>
      </c>
      <c r="G156" s="46">
        <v>200000</v>
      </c>
      <c r="H156" s="72">
        <v>0</v>
      </c>
      <c r="I156" s="126"/>
      <c r="J156" s="38"/>
      <c r="K156" s="13"/>
      <c r="L156" s="8"/>
      <c r="M156" s="8"/>
      <c r="N156" s="8"/>
      <c r="O156" s="8"/>
    </row>
    <row r="157" spans="1:15" s="10" customFormat="1" x14ac:dyDescent="0.2">
      <c r="A157" s="40">
        <v>3419</v>
      </c>
      <c r="B157" s="50">
        <v>5222</v>
      </c>
      <c r="C157" s="290" t="s">
        <v>270</v>
      </c>
      <c r="D157" s="46">
        <v>0</v>
      </c>
      <c r="E157" s="153">
        <v>0</v>
      </c>
      <c r="F157" s="46">
        <v>0</v>
      </c>
      <c r="G157" s="46">
        <v>0</v>
      </c>
      <c r="H157" s="72">
        <v>0</v>
      </c>
      <c r="I157" s="126"/>
      <c r="J157" s="38"/>
      <c r="K157" s="13"/>
      <c r="L157" s="8"/>
      <c r="M157" s="8"/>
      <c r="N157" s="8"/>
      <c r="O157" s="8"/>
    </row>
    <row r="158" spans="1:15" s="10" customFormat="1" ht="30" x14ac:dyDescent="0.2">
      <c r="A158" s="40">
        <v>3419</v>
      </c>
      <c r="B158" s="50">
        <v>5229</v>
      </c>
      <c r="C158" s="290" t="s">
        <v>330</v>
      </c>
      <c r="D158" s="46">
        <v>99</v>
      </c>
      <c r="E158" s="153">
        <v>0</v>
      </c>
      <c r="F158" s="46">
        <v>0</v>
      </c>
      <c r="G158" s="46">
        <v>0</v>
      </c>
      <c r="H158" s="72">
        <v>200</v>
      </c>
      <c r="I158" s="126"/>
      <c r="J158" s="38"/>
      <c r="K158" s="13"/>
      <c r="L158" s="8"/>
      <c r="M158" s="8"/>
      <c r="N158" s="8"/>
      <c r="O158" s="8"/>
    </row>
    <row r="159" spans="1:15" s="10" customFormat="1" ht="30.75" x14ac:dyDescent="0.25">
      <c r="A159" s="40">
        <v>3419</v>
      </c>
      <c r="B159" s="50">
        <v>5229</v>
      </c>
      <c r="C159" s="290" t="s">
        <v>271</v>
      </c>
      <c r="D159" s="46">
        <v>0</v>
      </c>
      <c r="E159" s="153">
        <v>149.5</v>
      </c>
      <c r="F159" s="46">
        <v>149500</v>
      </c>
      <c r="G159" s="46">
        <v>149500</v>
      </c>
      <c r="H159" s="72">
        <v>0</v>
      </c>
      <c r="I159" s="126"/>
      <c r="J159" s="38"/>
      <c r="K159" s="13"/>
      <c r="L159" s="8"/>
      <c r="M159" s="8"/>
      <c r="N159" s="8"/>
      <c r="O159" s="8"/>
    </row>
    <row r="160" spans="1:15" s="10" customFormat="1" ht="30" x14ac:dyDescent="0.2">
      <c r="A160" s="40">
        <v>3419</v>
      </c>
      <c r="B160" s="50">
        <v>5229</v>
      </c>
      <c r="C160" s="290" t="s">
        <v>272</v>
      </c>
      <c r="D160" s="46">
        <v>0</v>
      </c>
      <c r="E160" s="153">
        <v>50.5</v>
      </c>
      <c r="F160" s="46">
        <v>50500</v>
      </c>
      <c r="G160" s="46">
        <v>50500</v>
      </c>
      <c r="H160" s="72">
        <v>0</v>
      </c>
      <c r="I160" s="126"/>
      <c r="J160" s="38"/>
      <c r="K160" s="13"/>
      <c r="L160" s="8"/>
      <c r="M160" s="8"/>
      <c r="N160" s="8"/>
      <c r="O160" s="8"/>
    </row>
    <row r="161" spans="1:15" s="10" customFormat="1" ht="30" x14ac:dyDescent="0.2">
      <c r="A161" s="40">
        <v>3419</v>
      </c>
      <c r="B161" s="50">
        <v>5229</v>
      </c>
      <c r="C161" s="290" t="s">
        <v>164</v>
      </c>
      <c r="D161" s="46">
        <v>101</v>
      </c>
      <c r="E161" s="153">
        <v>0</v>
      </c>
      <c r="F161" s="46">
        <v>0</v>
      </c>
      <c r="G161" s="46">
        <v>0</v>
      </c>
      <c r="H161" s="72">
        <v>0</v>
      </c>
      <c r="I161" s="126"/>
      <c r="J161" s="38"/>
      <c r="K161" s="13"/>
      <c r="L161" s="8"/>
      <c r="M161" s="8"/>
      <c r="N161" s="8"/>
      <c r="O161" s="8"/>
    </row>
    <row r="162" spans="1:15" s="10" customFormat="1" ht="21.75" customHeight="1" x14ac:dyDescent="0.2">
      <c r="A162" s="40">
        <v>3419</v>
      </c>
      <c r="B162" s="50">
        <v>5901</v>
      </c>
      <c r="C162" s="305" t="s">
        <v>344</v>
      </c>
      <c r="D162" s="52">
        <v>0</v>
      </c>
      <c r="E162" s="163">
        <v>0</v>
      </c>
      <c r="F162" s="52">
        <v>0</v>
      </c>
      <c r="G162" s="52">
        <v>0</v>
      </c>
      <c r="H162" s="72">
        <v>239</v>
      </c>
      <c r="I162" s="126"/>
      <c r="J162" s="38"/>
      <c r="K162" s="13"/>
      <c r="L162" s="8"/>
      <c r="M162" s="8"/>
      <c r="N162" s="8"/>
      <c r="O162" s="8"/>
    </row>
    <row r="163" spans="1:15" s="6" customFormat="1" ht="15.75" x14ac:dyDescent="0.25">
      <c r="A163" s="174">
        <v>3419</v>
      </c>
      <c r="B163" s="175"/>
      <c r="C163" s="176" t="s">
        <v>82</v>
      </c>
      <c r="D163" s="56">
        <f>SUM(D155:D162)</f>
        <v>400</v>
      </c>
      <c r="E163" s="56">
        <f>SUM(E155:E162)</f>
        <v>400</v>
      </c>
      <c r="F163" s="56">
        <f>SUM(F155:F162)</f>
        <v>400000</v>
      </c>
      <c r="G163" s="56">
        <f>SUM(G155:G162)</f>
        <v>400000</v>
      </c>
      <c r="H163" s="57">
        <f>SUM(H155:H162)</f>
        <v>639</v>
      </c>
      <c r="I163" s="156">
        <f>H163</f>
        <v>639</v>
      </c>
      <c r="J163" s="38"/>
      <c r="K163" s="13"/>
      <c r="L163" s="7"/>
      <c r="M163" s="7"/>
      <c r="N163" s="7"/>
      <c r="O163" s="7"/>
    </row>
    <row r="164" spans="1:15" s="10" customFormat="1" x14ac:dyDescent="0.2">
      <c r="A164" s="39"/>
      <c r="B164" s="48"/>
      <c r="C164" s="85"/>
      <c r="D164" s="51"/>
      <c r="E164" s="45"/>
      <c r="F164" s="51"/>
      <c r="G164" s="306"/>
      <c r="H164" s="133"/>
      <c r="I164" s="126"/>
      <c r="J164" s="38"/>
      <c r="K164" s="13"/>
      <c r="L164" s="8"/>
      <c r="M164" s="8"/>
      <c r="N164" s="8"/>
      <c r="O164" s="8"/>
    </row>
    <row r="165" spans="1:15" s="10" customFormat="1" x14ac:dyDescent="0.2">
      <c r="A165" s="39">
        <v>3421</v>
      </c>
      <c r="B165" s="48">
        <v>5229</v>
      </c>
      <c r="C165" s="85" t="s">
        <v>83</v>
      </c>
      <c r="D165" s="51">
        <v>0</v>
      </c>
      <c r="E165" s="45">
        <v>20</v>
      </c>
      <c r="F165" s="51">
        <v>20000</v>
      </c>
      <c r="G165" s="51">
        <v>20000</v>
      </c>
      <c r="H165" s="72">
        <v>0</v>
      </c>
      <c r="I165" s="126"/>
      <c r="J165" s="38"/>
      <c r="K165" s="13"/>
      <c r="L165" s="8"/>
      <c r="M165" s="8"/>
      <c r="N165" s="8"/>
      <c r="O165" s="8"/>
    </row>
    <row r="166" spans="1:15" s="10" customFormat="1" x14ac:dyDescent="0.2">
      <c r="A166" s="39">
        <v>3421</v>
      </c>
      <c r="B166" s="48">
        <v>5229</v>
      </c>
      <c r="C166" s="85" t="s">
        <v>207</v>
      </c>
      <c r="D166" s="51">
        <v>20</v>
      </c>
      <c r="E166" s="45">
        <v>0</v>
      </c>
      <c r="F166" s="51">
        <v>0</v>
      </c>
      <c r="G166" s="51">
        <v>0</v>
      </c>
      <c r="H166" s="72">
        <v>20</v>
      </c>
      <c r="I166" s="126"/>
      <c r="J166" s="38"/>
      <c r="K166" s="13"/>
      <c r="L166" s="8"/>
      <c r="M166" s="8"/>
      <c r="N166" s="8"/>
      <c r="O166" s="8"/>
    </row>
    <row r="167" spans="1:15" s="6" customFormat="1" ht="15.75" x14ac:dyDescent="0.25">
      <c r="A167" s="174">
        <v>3421</v>
      </c>
      <c r="B167" s="175"/>
      <c r="C167" s="176" t="s">
        <v>84</v>
      </c>
      <c r="D167" s="56">
        <f>SUM(D165:D166)</f>
        <v>20</v>
      </c>
      <c r="E167" s="56">
        <f>SUM(E165:E166)</f>
        <v>20</v>
      </c>
      <c r="F167" s="56">
        <f>SUM(F165:F166)</f>
        <v>20000</v>
      </c>
      <c r="G167" s="56">
        <f>SUM(G165:G166)</f>
        <v>20000</v>
      </c>
      <c r="H167" s="57">
        <f>SUM(H165:H166)</f>
        <v>20</v>
      </c>
      <c r="I167" s="156">
        <f>H167</f>
        <v>20</v>
      </c>
      <c r="J167" s="38"/>
      <c r="K167" s="13"/>
      <c r="L167" s="7"/>
      <c r="M167" s="7"/>
      <c r="N167" s="7"/>
      <c r="O167" s="7"/>
    </row>
    <row r="168" spans="1:15" s="6" customFormat="1" ht="15.75" x14ac:dyDescent="0.25">
      <c r="A168" s="174"/>
      <c r="B168" s="175"/>
      <c r="C168" s="176"/>
      <c r="D168" s="56"/>
      <c r="E168" s="56"/>
      <c r="F168" s="56"/>
      <c r="G168" s="156"/>
      <c r="H168" s="57"/>
      <c r="I168" s="156"/>
      <c r="J168" s="38"/>
      <c r="K168" s="13"/>
      <c r="L168" s="7"/>
      <c r="M168" s="7"/>
      <c r="N168" s="7"/>
      <c r="O168" s="7"/>
    </row>
    <row r="169" spans="1:15" s="6" customFormat="1" ht="15.75" x14ac:dyDescent="0.25">
      <c r="A169" s="39">
        <v>3429</v>
      </c>
      <c r="B169" s="62">
        <v>6129</v>
      </c>
      <c r="C169" s="85" t="s">
        <v>341</v>
      </c>
      <c r="D169" s="45">
        <v>0</v>
      </c>
      <c r="E169" s="223">
        <v>600</v>
      </c>
      <c r="F169" s="51">
        <v>0</v>
      </c>
      <c r="G169" s="126">
        <v>48500</v>
      </c>
      <c r="H169" s="72">
        <v>1000</v>
      </c>
      <c r="I169" s="156"/>
      <c r="J169" s="38"/>
      <c r="K169" s="13"/>
      <c r="L169" s="7"/>
      <c r="M169" s="7"/>
      <c r="N169" s="7"/>
      <c r="O169" s="7"/>
    </row>
    <row r="170" spans="1:15" s="6" customFormat="1" ht="15.75" x14ac:dyDescent="0.25">
      <c r="A170" s="164">
        <v>3429</v>
      </c>
      <c r="B170" s="165"/>
      <c r="C170" s="295" t="s">
        <v>331</v>
      </c>
      <c r="D170" s="199">
        <f>SUM(D169)</f>
        <v>0</v>
      </c>
      <c r="E170" s="270">
        <f>SUM(E169)</f>
        <v>600</v>
      </c>
      <c r="F170" s="167">
        <f>SUM(F169)</f>
        <v>0</v>
      </c>
      <c r="G170" s="156">
        <f>SUM(G169)</f>
        <v>48500</v>
      </c>
      <c r="H170" s="57">
        <f>SUM(H169)</f>
        <v>1000</v>
      </c>
      <c r="I170" s="156">
        <f>H170</f>
        <v>1000</v>
      </c>
      <c r="J170" s="38"/>
      <c r="K170" s="13"/>
      <c r="L170" s="7"/>
      <c r="M170" s="7"/>
      <c r="N170" s="7"/>
      <c r="O170" s="7"/>
    </row>
    <row r="171" spans="1:15" s="6" customFormat="1" ht="15.75" x14ac:dyDescent="0.25">
      <c r="A171" s="174"/>
      <c r="B171" s="175"/>
      <c r="C171" s="176"/>
      <c r="D171" s="56"/>
      <c r="E171" s="56"/>
      <c r="F171" s="56"/>
      <c r="G171" s="156"/>
      <c r="H171" s="57"/>
      <c r="I171" s="156"/>
      <c r="J171" s="38"/>
      <c r="K171" s="13"/>
      <c r="L171" s="7"/>
      <c r="M171" s="7"/>
      <c r="N171" s="7"/>
      <c r="O171" s="7"/>
    </row>
    <row r="172" spans="1:15" s="10" customFormat="1" x14ac:dyDescent="0.2">
      <c r="A172" s="39"/>
      <c r="B172" s="48"/>
      <c r="C172" s="85"/>
      <c r="D172" s="51"/>
      <c r="E172" s="45"/>
      <c r="F172" s="51"/>
      <c r="G172" s="126"/>
      <c r="H172" s="133"/>
      <c r="I172" s="126"/>
      <c r="J172" s="38"/>
      <c r="K172" s="13"/>
      <c r="L172" s="8"/>
      <c r="M172" s="8"/>
      <c r="N172" s="8"/>
      <c r="O172" s="8"/>
    </row>
    <row r="173" spans="1:15" s="10" customFormat="1" x14ac:dyDescent="0.2">
      <c r="A173" s="39">
        <v>3549</v>
      </c>
      <c r="B173" s="62">
        <v>5169</v>
      </c>
      <c r="C173" s="42" t="s">
        <v>334</v>
      </c>
      <c r="D173" s="45">
        <v>0</v>
      </c>
      <c r="E173" s="223">
        <v>70</v>
      </c>
      <c r="F173" s="51">
        <v>70000</v>
      </c>
      <c r="G173" s="51">
        <v>70000</v>
      </c>
      <c r="H173" s="72">
        <v>0</v>
      </c>
      <c r="I173" s="126"/>
      <c r="J173" s="38"/>
      <c r="K173" s="13"/>
      <c r="L173" s="8"/>
      <c r="M173" s="8"/>
      <c r="N173" s="8"/>
      <c r="O173" s="8"/>
    </row>
    <row r="174" spans="1:15" s="10" customFormat="1" x14ac:dyDescent="0.2">
      <c r="A174" s="40">
        <v>3549</v>
      </c>
      <c r="B174" s="50">
        <v>5169</v>
      </c>
      <c r="C174" s="43" t="s">
        <v>335</v>
      </c>
      <c r="D174" s="46">
        <v>0</v>
      </c>
      <c r="E174" s="153">
        <v>30</v>
      </c>
      <c r="F174" s="52">
        <v>30000</v>
      </c>
      <c r="G174" s="52">
        <v>30000</v>
      </c>
      <c r="H174" s="72">
        <v>0</v>
      </c>
      <c r="I174" s="126"/>
      <c r="J174" s="38"/>
      <c r="K174" s="13"/>
      <c r="L174" s="8"/>
      <c r="M174" s="8"/>
      <c r="N174" s="8"/>
      <c r="O174" s="8"/>
    </row>
    <row r="175" spans="1:15" s="10" customFormat="1" ht="31.5" x14ac:dyDescent="0.25">
      <c r="A175" s="164">
        <v>3549</v>
      </c>
      <c r="B175" s="165"/>
      <c r="C175" s="263" t="s">
        <v>333</v>
      </c>
      <c r="D175" s="199">
        <f>SUM(D173:D174)</f>
        <v>0</v>
      </c>
      <c r="E175" s="199">
        <f>SUM(E173:E174)</f>
        <v>100</v>
      </c>
      <c r="F175" s="200">
        <f>SUM(F173:F174)</f>
        <v>100000</v>
      </c>
      <c r="G175" s="200">
        <f>SUM(G173:G174)</f>
        <v>100000</v>
      </c>
      <c r="H175" s="57">
        <f>SUM(H173:H174)</f>
        <v>0</v>
      </c>
      <c r="I175" s="156">
        <f>H175</f>
        <v>0</v>
      </c>
      <c r="J175" s="38"/>
      <c r="K175" s="13"/>
      <c r="L175" s="8"/>
      <c r="M175" s="8"/>
      <c r="N175" s="8"/>
      <c r="O175" s="8"/>
    </row>
    <row r="176" spans="1:15" s="10" customFormat="1" x14ac:dyDescent="0.2">
      <c r="A176" s="39"/>
      <c r="B176" s="48"/>
      <c r="C176" s="85"/>
      <c r="D176" s="51"/>
      <c r="E176" s="45"/>
      <c r="F176" s="51"/>
      <c r="G176" s="126"/>
      <c r="H176" s="133"/>
      <c r="I176" s="126"/>
      <c r="J176" s="38"/>
      <c r="K176" s="13"/>
      <c r="L176" s="8"/>
      <c r="M176" s="8"/>
      <c r="N176" s="8"/>
      <c r="O176" s="8"/>
    </row>
    <row r="177" spans="1:15" s="10" customFormat="1" ht="30" x14ac:dyDescent="0.2">
      <c r="A177" s="39">
        <v>3599</v>
      </c>
      <c r="B177" s="62">
        <v>5137</v>
      </c>
      <c r="C177" s="85" t="s">
        <v>273</v>
      </c>
      <c r="D177" s="45">
        <v>50</v>
      </c>
      <c r="E177" s="223">
        <v>50</v>
      </c>
      <c r="F177" s="51">
        <v>0</v>
      </c>
      <c r="G177" s="51">
        <v>0</v>
      </c>
      <c r="H177" s="72">
        <v>20</v>
      </c>
      <c r="I177" s="126"/>
      <c r="J177" s="38"/>
      <c r="K177" s="13"/>
      <c r="L177" s="8"/>
      <c r="M177" s="8"/>
      <c r="N177" s="8"/>
      <c r="O177" s="8"/>
    </row>
    <row r="178" spans="1:15" s="10" customFormat="1" x14ac:dyDescent="0.2">
      <c r="A178" s="40">
        <v>3599</v>
      </c>
      <c r="B178" s="50">
        <v>5221</v>
      </c>
      <c r="C178" s="290" t="s">
        <v>332</v>
      </c>
      <c r="D178" s="46">
        <v>0</v>
      </c>
      <c r="E178" s="153">
        <v>0</v>
      </c>
      <c r="F178" s="46">
        <v>0</v>
      </c>
      <c r="G178" s="46">
        <v>0</v>
      </c>
      <c r="H178" s="72">
        <v>5</v>
      </c>
      <c r="I178" s="126"/>
      <c r="J178" s="38"/>
      <c r="K178" s="13"/>
      <c r="L178" s="8"/>
      <c r="M178" s="8"/>
      <c r="N178" s="8"/>
      <c r="O178" s="8"/>
    </row>
    <row r="179" spans="1:15" s="10" customFormat="1" ht="30" x14ac:dyDescent="0.2">
      <c r="A179" s="40">
        <v>3599</v>
      </c>
      <c r="B179" s="50">
        <v>5221</v>
      </c>
      <c r="C179" s="290" t="s">
        <v>274</v>
      </c>
      <c r="D179" s="46">
        <v>0</v>
      </c>
      <c r="E179" s="153">
        <v>5</v>
      </c>
      <c r="F179" s="46">
        <v>5000</v>
      </c>
      <c r="G179" s="46">
        <v>5000</v>
      </c>
      <c r="H179" s="72">
        <v>0</v>
      </c>
      <c r="I179" s="126"/>
      <c r="J179" s="38"/>
      <c r="K179" s="13"/>
      <c r="L179" s="8"/>
      <c r="M179" s="8"/>
      <c r="N179" s="8"/>
      <c r="O179" s="8"/>
    </row>
    <row r="180" spans="1:15" s="10" customFormat="1" x14ac:dyDescent="0.2">
      <c r="A180" s="40">
        <v>3599</v>
      </c>
      <c r="B180" s="50">
        <v>5492</v>
      </c>
      <c r="C180" s="290" t="s">
        <v>58</v>
      </c>
      <c r="D180" s="46">
        <v>15</v>
      </c>
      <c r="E180" s="153">
        <v>15</v>
      </c>
      <c r="F180" s="46">
        <v>0</v>
      </c>
      <c r="G180" s="46">
        <v>0</v>
      </c>
      <c r="H180" s="72">
        <v>5</v>
      </c>
      <c r="I180" s="126"/>
      <c r="J180" s="38"/>
      <c r="K180" s="13"/>
      <c r="L180" s="8"/>
      <c r="M180" s="8"/>
      <c r="N180" s="8"/>
      <c r="O180" s="8"/>
    </row>
    <row r="181" spans="1:15" s="10" customFormat="1" ht="15.75" x14ac:dyDescent="0.25">
      <c r="A181" s="164">
        <v>3599</v>
      </c>
      <c r="B181" s="165"/>
      <c r="C181" s="263" t="s">
        <v>180</v>
      </c>
      <c r="D181" s="56">
        <f>SUM(D177:D180)</f>
        <v>65</v>
      </c>
      <c r="E181" s="56">
        <f>SUM(E177:E180)</f>
        <v>70</v>
      </c>
      <c r="F181" s="56">
        <f>SUM(F177:F180)</f>
        <v>5000</v>
      </c>
      <c r="G181" s="56">
        <f>SUM(G177:G180)</f>
        <v>5000</v>
      </c>
      <c r="H181" s="57">
        <f>SUM(H177:H180)</f>
        <v>30</v>
      </c>
      <c r="I181" s="156">
        <f>H181</f>
        <v>30</v>
      </c>
      <c r="J181" s="38"/>
      <c r="K181" s="13"/>
      <c r="L181" s="8"/>
      <c r="M181" s="8"/>
      <c r="N181" s="8"/>
      <c r="O181" s="8"/>
    </row>
    <row r="182" spans="1:15" s="10" customFormat="1" x14ac:dyDescent="0.2">
      <c r="A182" s="39"/>
      <c r="B182" s="48"/>
      <c r="C182" s="85"/>
      <c r="D182" s="51"/>
      <c r="E182" s="45"/>
      <c r="F182" s="51"/>
      <c r="G182" s="126"/>
      <c r="H182" s="133"/>
      <c r="I182" s="126"/>
      <c r="J182" s="38"/>
      <c r="K182" s="13"/>
      <c r="L182" s="8"/>
      <c r="M182" s="8"/>
      <c r="N182" s="8"/>
      <c r="O182" s="8"/>
    </row>
    <row r="183" spans="1:15" x14ac:dyDescent="0.2">
      <c r="A183" s="39">
        <v>3631</v>
      </c>
      <c r="B183" s="48">
        <v>5169</v>
      </c>
      <c r="C183" s="85" t="s">
        <v>351</v>
      </c>
      <c r="D183" s="51">
        <v>6</v>
      </c>
      <c r="E183" s="45">
        <v>6</v>
      </c>
      <c r="F183" s="51">
        <v>0</v>
      </c>
      <c r="G183" s="126">
        <v>0</v>
      </c>
      <c r="H183" s="72">
        <v>6</v>
      </c>
      <c r="I183" s="126"/>
      <c r="J183" s="38"/>
    </row>
    <row r="184" spans="1:15" s="6" customFormat="1" ht="15.75" x14ac:dyDescent="0.25">
      <c r="A184" s="174">
        <v>3631</v>
      </c>
      <c r="B184" s="175"/>
      <c r="C184" s="176" t="s">
        <v>57</v>
      </c>
      <c r="D184" s="56">
        <f>SUM(D183)</f>
        <v>6</v>
      </c>
      <c r="E184" s="157">
        <f>SUM(E183)</f>
        <v>6</v>
      </c>
      <c r="F184" s="56">
        <f>SUM(F183)</f>
        <v>0</v>
      </c>
      <c r="G184" s="56">
        <f>SUM(G183)</f>
        <v>0</v>
      </c>
      <c r="H184" s="57">
        <f>SUM(H183)</f>
        <v>6</v>
      </c>
      <c r="I184" s="156">
        <f>H184</f>
        <v>6</v>
      </c>
      <c r="J184" s="38"/>
      <c r="K184" s="13"/>
      <c r="L184" s="7"/>
      <c r="M184" s="7"/>
      <c r="N184" s="7"/>
      <c r="O184" s="7"/>
    </row>
    <row r="185" spans="1:15" x14ac:dyDescent="0.2">
      <c r="A185" s="39"/>
      <c r="B185" s="48"/>
      <c r="C185" s="85"/>
      <c r="D185" s="51"/>
      <c r="E185" s="45"/>
      <c r="F185" s="51"/>
      <c r="G185" s="126"/>
      <c r="H185" s="133"/>
      <c r="I185" s="126"/>
      <c r="J185" s="38"/>
    </row>
    <row r="186" spans="1:15" x14ac:dyDescent="0.2">
      <c r="A186" s="39">
        <v>3632</v>
      </c>
      <c r="B186" s="62">
        <v>5011</v>
      </c>
      <c r="C186" s="183" t="s">
        <v>22</v>
      </c>
      <c r="D186" s="45">
        <v>104</v>
      </c>
      <c r="E186" s="223">
        <v>104</v>
      </c>
      <c r="F186" s="45">
        <f>77529+7204</f>
        <v>84733</v>
      </c>
      <c r="G186" s="45">
        <v>104000</v>
      </c>
      <c r="H186" s="72">
        <v>125</v>
      </c>
      <c r="I186" s="126"/>
      <c r="J186" s="38"/>
    </row>
    <row r="187" spans="1:15" x14ac:dyDescent="0.2">
      <c r="A187" s="40">
        <v>3632</v>
      </c>
      <c r="B187" s="50">
        <v>5021</v>
      </c>
      <c r="C187" s="291" t="s">
        <v>25</v>
      </c>
      <c r="D187" s="46">
        <v>5</v>
      </c>
      <c r="E187" s="153">
        <v>5</v>
      </c>
      <c r="F187" s="46">
        <v>3375</v>
      </c>
      <c r="G187" s="46">
        <v>5000</v>
      </c>
      <c r="H187" s="72">
        <v>6</v>
      </c>
      <c r="I187" s="126"/>
      <c r="J187" s="38"/>
    </row>
    <row r="188" spans="1:15" x14ac:dyDescent="0.2">
      <c r="A188" s="40">
        <v>3632</v>
      </c>
      <c r="B188" s="50">
        <v>5031</v>
      </c>
      <c r="C188" s="290" t="s">
        <v>48</v>
      </c>
      <c r="D188" s="46">
        <v>26</v>
      </c>
      <c r="E188" s="153">
        <v>26</v>
      </c>
      <c r="F188" s="46">
        <v>21188</v>
      </c>
      <c r="G188" s="46">
        <f>21188+2119</f>
        <v>23307</v>
      </c>
      <c r="H188" s="72">
        <v>31</v>
      </c>
      <c r="I188" s="126"/>
      <c r="J188" s="38"/>
    </row>
    <row r="189" spans="1:15" x14ac:dyDescent="0.2">
      <c r="A189" s="40">
        <v>3632</v>
      </c>
      <c r="B189" s="50">
        <v>5032</v>
      </c>
      <c r="C189" s="290" t="s">
        <v>46</v>
      </c>
      <c r="D189" s="46">
        <v>10</v>
      </c>
      <c r="E189" s="153">
        <v>10</v>
      </c>
      <c r="F189" s="46">
        <v>7627</v>
      </c>
      <c r="G189" s="46">
        <f>7627+762</f>
        <v>8389</v>
      </c>
      <c r="H189" s="72">
        <v>12</v>
      </c>
      <c r="I189" s="126"/>
      <c r="J189" s="38"/>
    </row>
    <row r="190" spans="1:15" x14ac:dyDescent="0.2">
      <c r="A190" s="40">
        <v>3632</v>
      </c>
      <c r="B190" s="50">
        <v>5137</v>
      </c>
      <c r="C190" s="290" t="s">
        <v>51</v>
      </c>
      <c r="D190" s="46">
        <v>5</v>
      </c>
      <c r="E190" s="153">
        <v>5</v>
      </c>
      <c r="F190" s="46">
        <v>0</v>
      </c>
      <c r="G190" s="46">
        <v>0</v>
      </c>
      <c r="H190" s="72">
        <v>5</v>
      </c>
      <c r="I190" s="126"/>
      <c r="J190" s="38"/>
    </row>
    <row r="191" spans="1:15" x14ac:dyDescent="0.2">
      <c r="A191" s="40">
        <v>3632</v>
      </c>
      <c r="B191" s="50">
        <v>5139</v>
      </c>
      <c r="C191" s="290" t="s">
        <v>8</v>
      </c>
      <c r="D191" s="46">
        <v>6</v>
      </c>
      <c r="E191" s="153">
        <v>6</v>
      </c>
      <c r="F191" s="46">
        <v>5533</v>
      </c>
      <c r="G191" s="46">
        <v>5143</v>
      </c>
      <c r="H191" s="72">
        <v>6</v>
      </c>
      <c r="I191" s="126"/>
      <c r="J191" s="38"/>
    </row>
    <row r="192" spans="1:15" x14ac:dyDescent="0.2">
      <c r="A192" s="40">
        <v>3632</v>
      </c>
      <c r="B192" s="50">
        <v>5151</v>
      </c>
      <c r="C192" s="290" t="s">
        <v>15</v>
      </c>
      <c r="D192" s="46">
        <v>9</v>
      </c>
      <c r="E192" s="153">
        <v>9</v>
      </c>
      <c r="F192" s="46">
        <v>7292</v>
      </c>
      <c r="G192" s="46">
        <f>5712+1580</f>
        <v>7292</v>
      </c>
      <c r="H192" s="72">
        <v>9</v>
      </c>
      <c r="I192" s="126"/>
      <c r="J192" s="38"/>
    </row>
    <row r="193" spans="1:15" x14ac:dyDescent="0.2">
      <c r="A193" s="40">
        <v>3632</v>
      </c>
      <c r="B193" s="50">
        <v>5154</v>
      </c>
      <c r="C193" s="290" t="s">
        <v>17</v>
      </c>
      <c r="D193" s="46">
        <v>0</v>
      </c>
      <c r="E193" s="153">
        <v>4</v>
      </c>
      <c r="F193" s="46">
        <v>3000</v>
      </c>
      <c r="G193" s="46">
        <v>3000</v>
      </c>
      <c r="H193" s="72">
        <v>6</v>
      </c>
      <c r="I193" s="126"/>
      <c r="J193" s="38"/>
    </row>
    <row r="194" spans="1:15" x14ac:dyDescent="0.2">
      <c r="A194" s="40">
        <v>3632</v>
      </c>
      <c r="B194" s="50">
        <v>5156</v>
      </c>
      <c r="C194" s="290" t="s">
        <v>86</v>
      </c>
      <c r="D194" s="46">
        <v>1</v>
      </c>
      <c r="E194" s="153">
        <v>1</v>
      </c>
      <c r="F194" s="46">
        <v>0</v>
      </c>
      <c r="G194" s="46">
        <v>0</v>
      </c>
      <c r="H194" s="72">
        <v>1</v>
      </c>
      <c r="I194" s="126"/>
      <c r="J194" s="38"/>
    </row>
    <row r="195" spans="1:15" x14ac:dyDescent="0.2">
      <c r="A195" s="40">
        <v>3632</v>
      </c>
      <c r="B195" s="50">
        <v>5164</v>
      </c>
      <c r="C195" s="290" t="s">
        <v>94</v>
      </c>
      <c r="D195" s="46">
        <v>1</v>
      </c>
      <c r="E195" s="153">
        <v>1</v>
      </c>
      <c r="F195" s="46">
        <v>0</v>
      </c>
      <c r="G195" s="46">
        <v>0</v>
      </c>
      <c r="H195" s="72">
        <v>1</v>
      </c>
      <c r="I195" s="126"/>
      <c r="J195" s="38"/>
    </row>
    <row r="196" spans="1:15" ht="30" x14ac:dyDescent="0.2">
      <c r="A196" s="40">
        <v>3632</v>
      </c>
      <c r="B196" s="50">
        <v>5169</v>
      </c>
      <c r="C196" s="290" t="s">
        <v>275</v>
      </c>
      <c r="D196" s="46">
        <v>60</v>
      </c>
      <c r="E196" s="153">
        <v>100</v>
      </c>
      <c r="F196" s="46">
        <v>52616.85</v>
      </c>
      <c r="G196" s="46">
        <f>52616.85+19360</f>
        <v>71976.850000000006</v>
      </c>
      <c r="H196" s="72">
        <v>20</v>
      </c>
      <c r="I196" s="126"/>
      <c r="J196" s="38"/>
    </row>
    <row r="197" spans="1:15" ht="30" x14ac:dyDescent="0.2">
      <c r="A197" s="40">
        <v>3632</v>
      </c>
      <c r="B197" s="50">
        <v>5171</v>
      </c>
      <c r="C197" s="290" t="s">
        <v>317</v>
      </c>
      <c r="D197" s="46">
        <v>70</v>
      </c>
      <c r="E197" s="153">
        <v>70</v>
      </c>
      <c r="F197" s="46">
        <v>10805</v>
      </c>
      <c r="G197" s="46">
        <v>10805</v>
      </c>
      <c r="H197" s="72">
        <v>100</v>
      </c>
      <c r="I197" s="126"/>
      <c r="J197" s="38"/>
    </row>
    <row r="198" spans="1:15" s="3" customFormat="1" ht="15.75" x14ac:dyDescent="0.25">
      <c r="A198" s="158">
        <v>3632</v>
      </c>
      <c r="B198" s="159"/>
      <c r="C198" s="106" t="s">
        <v>26</v>
      </c>
      <c r="D198" s="168">
        <f>SUM(D186:D197)</f>
        <v>297</v>
      </c>
      <c r="E198" s="161">
        <f>SUM(E186:E197)</f>
        <v>341</v>
      </c>
      <c r="F198" s="168">
        <f>SUM(F186:F197)</f>
        <v>196169.85</v>
      </c>
      <c r="G198" s="168">
        <f>SUM(G186:G197)</f>
        <v>238912.85</v>
      </c>
      <c r="H198" s="241">
        <f>SUM(H186:H197)</f>
        <v>322</v>
      </c>
      <c r="I198" s="116">
        <f>H198</f>
        <v>322</v>
      </c>
      <c r="J198" s="38"/>
      <c r="K198" s="13"/>
      <c r="L198" s="5"/>
      <c r="M198" s="5"/>
      <c r="N198" s="5"/>
      <c r="O198" s="5"/>
    </row>
    <row r="199" spans="1:15" x14ac:dyDescent="0.2">
      <c r="A199" s="39"/>
      <c r="B199" s="48"/>
      <c r="C199" s="85"/>
      <c r="D199" s="51"/>
      <c r="E199" s="45"/>
      <c r="F199" s="51"/>
      <c r="G199" s="126"/>
      <c r="H199" s="133"/>
      <c r="I199" s="126"/>
      <c r="J199" s="38"/>
    </row>
    <row r="200" spans="1:15" x14ac:dyDescent="0.2">
      <c r="A200" s="39">
        <v>3635</v>
      </c>
      <c r="B200" s="48">
        <v>5166</v>
      </c>
      <c r="C200" s="85" t="s">
        <v>31</v>
      </c>
      <c r="D200" s="51">
        <v>250</v>
      </c>
      <c r="E200" s="45">
        <v>250</v>
      </c>
      <c r="F200" s="51">
        <v>78869</v>
      </c>
      <c r="G200" s="51">
        <v>78869</v>
      </c>
      <c r="H200" s="72">
        <v>250</v>
      </c>
      <c r="I200" s="126"/>
      <c r="J200" s="38"/>
    </row>
    <row r="201" spans="1:15" s="3" customFormat="1" ht="15.75" x14ac:dyDescent="0.25">
      <c r="A201" s="158">
        <v>3635</v>
      </c>
      <c r="B201" s="159"/>
      <c r="C201" s="160" t="s">
        <v>27</v>
      </c>
      <c r="D201" s="168">
        <f>SUM(D200:D200)</f>
        <v>250</v>
      </c>
      <c r="E201" s="161">
        <f>SUM(E200:E200)</f>
        <v>250</v>
      </c>
      <c r="F201" s="168">
        <f>SUM(F200:F200)</f>
        <v>78869</v>
      </c>
      <c r="G201" s="168">
        <f>SUM(G200:G200)</f>
        <v>78869</v>
      </c>
      <c r="H201" s="57">
        <f>SUM(H200)</f>
        <v>250</v>
      </c>
      <c r="I201" s="116">
        <f>H201</f>
        <v>250</v>
      </c>
      <c r="J201" s="38"/>
      <c r="K201" s="13"/>
      <c r="L201" s="5"/>
      <c r="M201" s="5"/>
      <c r="N201" s="5"/>
      <c r="O201" s="5"/>
    </row>
    <row r="202" spans="1:15" s="3" customFormat="1" ht="15.75" x14ac:dyDescent="0.25">
      <c r="A202" s="158"/>
      <c r="B202" s="159"/>
      <c r="C202" s="160"/>
      <c r="D202" s="168"/>
      <c r="E202" s="161"/>
      <c r="F202" s="168"/>
      <c r="G202" s="116"/>
      <c r="H202" s="229"/>
      <c r="I202" s="116"/>
      <c r="J202" s="38"/>
      <c r="K202" s="13"/>
      <c r="L202" s="5"/>
      <c r="M202" s="5"/>
      <c r="N202" s="5"/>
      <c r="O202" s="5"/>
    </row>
    <row r="203" spans="1:15" s="12" customFormat="1" x14ac:dyDescent="0.2">
      <c r="A203" s="39">
        <v>3639</v>
      </c>
      <c r="B203" s="62">
        <v>5151</v>
      </c>
      <c r="C203" s="85" t="s">
        <v>15</v>
      </c>
      <c r="D203" s="45">
        <v>5</v>
      </c>
      <c r="E203" s="223">
        <v>5</v>
      </c>
      <c r="F203" s="51">
        <v>1177</v>
      </c>
      <c r="G203" s="51">
        <v>1177</v>
      </c>
      <c r="H203" s="72">
        <v>4</v>
      </c>
      <c r="I203" s="126"/>
      <c r="J203" s="38"/>
      <c r="K203" s="13"/>
      <c r="L203" s="13"/>
      <c r="M203" s="13"/>
      <c r="N203" s="13"/>
      <c r="O203" s="13"/>
    </row>
    <row r="204" spans="1:15" s="10" customFormat="1" x14ac:dyDescent="0.2">
      <c r="A204" s="40">
        <v>3639</v>
      </c>
      <c r="B204" s="50">
        <v>5154</v>
      </c>
      <c r="C204" s="290" t="s">
        <v>129</v>
      </c>
      <c r="D204" s="46">
        <v>10</v>
      </c>
      <c r="E204" s="153">
        <v>10</v>
      </c>
      <c r="F204" s="52">
        <v>1563</v>
      </c>
      <c r="G204" s="52">
        <v>1563</v>
      </c>
      <c r="H204" s="72">
        <v>5</v>
      </c>
      <c r="I204" s="126"/>
      <c r="J204" s="38"/>
      <c r="K204" s="13"/>
      <c r="L204" s="8"/>
      <c r="M204" s="8"/>
      <c r="N204" s="8"/>
      <c r="O204" s="8"/>
    </row>
    <row r="205" spans="1:15" s="10" customFormat="1" x14ac:dyDescent="0.2">
      <c r="A205" s="40">
        <v>3639</v>
      </c>
      <c r="B205" s="50">
        <v>5169</v>
      </c>
      <c r="C205" s="290" t="s">
        <v>336</v>
      </c>
      <c r="D205" s="46">
        <v>5</v>
      </c>
      <c r="E205" s="153">
        <v>5</v>
      </c>
      <c r="F205" s="52">
        <v>0</v>
      </c>
      <c r="G205" s="52">
        <v>0</v>
      </c>
      <c r="H205" s="72">
        <v>5</v>
      </c>
      <c r="I205" s="126"/>
      <c r="J205" s="38"/>
      <c r="K205" s="13"/>
      <c r="L205" s="8"/>
      <c r="M205" s="8"/>
      <c r="N205" s="8"/>
      <c r="O205" s="8"/>
    </row>
    <row r="206" spans="1:15" s="10" customFormat="1" x14ac:dyDescent="0.2">
      <c r="A206" s="40">
        <v>3639</v>
      </c>
      <c r="B206" s="50">
        <v>5169</v>
      </c>
      <c r="C206" s="290" t="s">
        <v>276</v>
      </c>
      <c r="D206" s="46">
        <v>1100</v>
      </c>
      <c r="E206" s="153">
        <v>1100</v>
      </c>
      <c r="F206" s="52">
        <v>159275.79999999999</v>
      </c>
      <c r="G206" s="52">
        <v>159275.79999999999</v>
      </c>
      <c r="H206" s="72">
        <v>0</v>
      </c>
      <c r="I206" s="126"/>
      <c r="J206" s="38"/>
      <c r="K206" s="13"/>
      <c r="L206" s="8"/>
      <c r="M206" s="8"/>
      <c r="N206" s="8"/>
      <c r="O206" s="8"/>
    </row>
    <row r="207" spans="1:15" s="10" customFormat="1" x14ac:dyDescent="0.2">
      <c r="A207" s="40">
        <v>3639</v>
      </c>
      <c r="B207" s="50">
        <v>5171</v>
      </c>
      <c r="C207" s="290" t="s">
        <v>337</v>
      </c>
      <c r="D207" s="46">
        <v>15</v>
      </c>
      <c r="E207" s="153">
        <v>15</v>
      </c>
      <c r="F207" s="52">
        <v>0</v>
      </c>
      <c r="G207" s="52">
        <v>0</v>
      </c>
      <c r="H207" s="72">
        <v>15</v>
      </c>
      <c r="I207" s="126"/>
      <c r="J207" s="38"/>
      <c r="K207" s="13"/>
      <c r="L207" s="8"/>
      <c r="M207" s="8"/>
      <c r="N207" s="8"/>
      <c r="O207" s="8"/>
    </row>
    <row r="208" spans="1:15" s="10" customFormat="1" x14ac:dyDescent="0.2">
      <c r="A208" s="40">
        <v>3639</v>
      </c>
      <c r="B208" s="50">
        <v>6121</v>
      </c>
      <c r="C208" s="290" t="s">
        <v>181</v>
      </c>
      <c r="D208" s="46">
        <v>200</v>
      </c>
      <c r="E208" s="153">
        <v>200</v>
      </c>
      <c r="F208" s="52">
        <v>0</v>
      </c>
      <c r="G208" s="52">
        <v>0</v>
      </c>
      <c r="H208" s="72">
        <v>0</v>
      </c>
      <c r="I208" s="126"/>
      <c r="J208" s="38"/>
      <c r="K208" s="13"/>
      <c r="L208" s="8"/>
      <c r="M208" s="8"/>
      <c r="N208" s="8"/>
      <c r="O208" s="8"/>
    </row>
    <row r="209" spans="1:15" s="3" customFormat="1" ht="15.75" x14ac:dyDescent="0.25">
      <c r="A209" s="158">
        <v>3639</v>
      </c>
      <c r="B209" s="159"/>
      <c r="C209" s="160" t="s">
        <v>67</v>
      </c>
      <c r="D209" s="168">
        <f>SUM(D203:D208)</f>
        <v>1335</v>
      </c>
      <c r="E209" s="168">
        <f>SUM(E203:E208)</f>
        <v>1335</v>
      </c>
      <c r="F209" s="168">
        <f>SUM(F203:F208)</f>
        <v>162015.79999999999</v>
      </c>
      <c r="G209" s="168">
        <f>SUM(G203:G208)</f>
        <v>162015.79999999999</v>
      </c>
      <c r="H209" s="241">
        <f>SUM(H203:H208)</f>
        <v>29</v>
      </c>
      <c r="I209" s="156">
        <f>H209</f>
        <v>29</v>
      </c>
      <c r="J209" s="38"/>
      <c r="K209" s="13"/>
      <c r="L209" s="5"/>
      <c r="M209" s="5"/>
      <c r="N209" s="5"/>
      <c r="O209" s="5"/>
    </row>
    <row r="210" spans="1:15" s="3" customFormat="1" ht="15.75" x14ac:dyDescent="0.25">
      <c r="A210" s="158"/>
      <c r="B210" s="159"/>
      <c r="C210" s="160"/>
      <c r="D210" s="168"/>
      <c r="E210" s="161"/>
      <c r="F210" s="168"/>
      <c r="G210" s="116"/>
      <c r="H210" s="229"/>
      <c r="I210" s="116"/>
      <c r="J210" s="38"/>
      <c r="K210" s="13"/>
      <c r="L210" s="5"/>
      <c r="M210" s="5"/>
      <c r="N210" s="5"/>
      <c r="O210" s="5"/>
    </row>
    <row r="211" spans="1:15" s="3" customFormat="1" x14ac:dyDescent="0.2">
      <c r="A211" s="39">
        <v>3722</v>
      </c>
      <c r="B211" s="48">
        <v>5169</v>
      </c>
      <c r="C211" s="85" t="s">
        <v>9</v>
      </c>
      <c r="D211" s="51">
        <v>150</v>
      </c>
      <c r="E211" s="45">
        <v>150</v>
      </c>
      <c r="F211" s="51">
        <v>122592.4</v>
      </c>
      <c r="G211" s="51">
        <f>122592.4+8565</f>
        <v>131157.4</v>
      </c>
      <c r="H211" s="72">
        <v>150</v>
      </c>
      <c r="I211" s="126"/>
      <c r="J211" s="38"/>
      <c r="K211" s="13"/>
      <c r="L211" s="5"/>
      <c r="M211" s="5"/>
      <c r="N211" s="5"/>
      <c r="O211" s="5"/>
    </row>
    <row r="212" spans="1:15" s="3" customFormat="1" ht="15.75" x14ac:dyDescent="0.25">
      <c r="A212" s="158">
        <v>3722</v>
      </c>
      <c r="B212" s="159"/>
      <c r="C212" s="160" t="s">
        <v>28</v>
      </c>
      <c r="D212" s="168">
        <f>SUM(D211)</f>
        <v>150</v>
      </c>
      <c r="E212" s="161">
        <f>SUM(E211)</f>
        <v>150</v>
      </c>
      <c r="F212" s="168">
        <f>SUM(F211)</f>
        <v>122592.4</v>
      </c>
      <c r="G212" s="168">
        <f>SUM(G211)</f>
        <v>131157.4</v>
      </c>
      <c r="H212" s="57">
        <f>SUM(H211)</f>
        <v>150</v>
      </c>
      <c r="I212" s="116">
        <f>H211</f>
        <v>150</v>
      </c>
      <c r="J212" s="38"/>
      <c r="K212" s="13"/>
      <c r="L212" s="5"/>
      <c r="M212" s="5"/>
      <c r="N212" s="5"/>
      <c r="O212" s="5"/>
    </row>
    <row r="213" spans="1:15" s="3" customFormat="1" ht="15.75" x14ac:dyDescent="0.25">
      <c r="A213" s="158"/>
      <c r="B213" s="159"/>
      <c r="C213" s="160"/>
      <c r="D213" s="168"/>
      <c r="E213" s="161"/>
      <c r="F213" s="168"/>
      <c r="G213" s="116"/>
      <c r="H213" s="229"/>
      <c r="I213" s="116"/>
      <c r="J213" s="38"/>
      <c r="K213" s="13"/>
      <c r="L213" s="5"/>
      <c r="M213" s="5"/>
      <c r="N213" s="5"/>
      <c r="O213" s="5"/>
    </row>
    <row r="214" spans="1:15" s="3" customFormat="1" x14ac:dyDescent="0.2">
      <c r="A214" s="39">
        <v>3731</v>
      </c>
      <c r="B214" s="48">
        <v>5169</v>
      </c>
      <c r="C214" s="85" t="s">
        <v>338</v>
      </c>
      <c r="D214" s="51">
        <v>8</v>
      </c>
      <c r="E214" s="45">
        <v>28</v>
      </c>
      <c r="F214" s="51">
        <v>24414</v>
      </c>
      <c r="G214" s="51">
        <v>24414</v>
      </c>
      <c r="H214" s="72">
        <v>8</v>
      </c>
      <c r="I214" s="126"/>
      <c r="J214" s="38"/>
      <c r="K214" s="13"/>
      <c r="L214" s="5"/>
      <c r="M214" s="5"/>
      <c r="N214" s="5"/>
      <c r="O214" s="5"/>
    </row>
    <row r="215" spans="1:15" s="3" customFormat="1" ht="31.5" x14ac:dyDescent="0.25">
      <c r="A215" s="158">
        <v>3731</v>
      </c>
      <c r="B215" s="159"/>
      <c r="C215" s="160" t="s">
        <v>145</v>
      </c>
      <c r="D215" s="168">
        <f>SUM(D214:D214)</f>
        <v>8</v>
      </c>
      <c r="E215" s="161">
        <f>SUM(E214:E214)</f>
        <v>28</v>
      </c>
      <c r="F215" s="168">
        <f>SUM(F214)</f>
        <v>24414</v>
      </c>
      <c r="G215" s="168">
        <f>SUM(G214)</f>
        <v>24414</v>
      </c>
      <c r="H215" s="57">
        <f>SUM(H214)</f>
        <v>8</v>
      </c>
      <c r="I215" s="116">
        <f>H215</f>
        <v>8</v>
      </c>
      <c r="J215" s="38"/>
      <c r="K215" s="13"/>
      <c r="L215" s="5"/>
      <c r="M215" s="5"/>
      <c r="N215" s="5"/>
      <c r="O215" s="5"/>
    </row>
    <row r="216" spans="1:15" s="3" customFormat="1" ht="15.75" x14ac:dyDescent="0.25">
      <c r="A216" s="158"/>
      <c r="B216" s="159"/>
      <c r="C216" s="160"/>
      <c r="D216" s="168"/>
      <c r="E216" s="161"/>
      <c r="F216" s="168"/>
      <c r="G216" s="116"/>
      <c r="H216" s="229"/>
      <c r="I216" s="116"/>
      <c r="J216" s="38"/>
      <c r="K216" s="13"/>
      <c r="L216" s="5"/>
      <c r="M216" s="5"/>
      <c r="N216" s="5"/>
      <c r="O216" s="5"/>
    </row>
    <row r="217" spans="1:15" s="3" customFormat="1" ht="30" x14ac:dyDescent="0.2">
      <c r="A217" s="39">
        <v>3745</v>
      </c>
      <c r="B217" s="62">
        <v>5137</v>
      </c>
      <c r="C217" s="85" t="s">
        <v>277</v>
      </c>
      <c r="D217" s="45">
        <v>100</v>
      </c>
      <c r="E217" s="223">
        <v>100</v>
      </c>
      <c r="F217" s="51">
        <v>3227</v>
      </c>
      <c r="G217" s="51">
        <v>3227</v>
      </c>
      <c r="H217" s="72">
        <v>100</v>
      </c>
      <c r="I217" s="126"/>
      <c r="J217" s="38"/>
      <c r="K217" s="13"/>
      <c r="L217" s="5"/>
      <c r="M217" s="5"/>
      <c r="N217" s="5"/>
      <c r="O217" s="5"/>
    </row>
    <row r="218" spans="1:15" s="3" customFormat="1" ht="30" x14ac:dyDescent="0.2">
      <c r="A218" s="40">
        <v>3745</v>
      </c>
      <c r="B218" s="50">
        <v>5137</v>
      </c>
      <c r="C218" s="290" t="s">
        <v>214</v>
      </c>
      <c r="D218" s="46">
        <v>145</v>
      </c>
      <c r="E218" s="153">
        <v>145</v>
      </c>
      <c r="F218" s="52">
        <v>0</v>
      </c>
      <c r="G218" s="52">
        <v>0</v>
      </c>
      <c r="H218" s="72">
        <v>145</v>
      </c>
      <c r="I218" s="126"/>
      <c r="J218" s="38"/>
      <c r="K218" s="13"/>
      <c r="L218" s="5"/>
      <c r="M218" s="5"/>
      <c r="N218" s="5"/>
      <c r="O218" s="5"/>
    </row>
    <row r="219" spans="1:15" s="3" customFormat="1" x14ac:dyDescent="0.2">
      <c r="A219" s="40">
        <v>3745</v>
      </c>
      <c r="B219" s="50">
        <v>5139</v>
      </c>
      <c r="C219" s="290" t="s">
        <v>90</v>
      </c>
      <c r="D219" s="46">
        <v>30</v>
      </c>
      <c r="E219" s="153">
        <v>30</v>
      </c>
      <c r="F219" s="46">
        <v>33173</v>
      </c>
      <c r="G219" s="46">
        <v>33173</v>
      </c>
      <c r="H219" s="72">
        <v>30</v>
      </c>
      <c r="I219" s="126"/>
      <c r="J219" s="38"/>
      <c r="K219" s="13"/>
      <c r="L219" s="5"/>
      <c r="M219" s="5"/>
      <c r="N219" s="5"/>
      <c r="O219" s="5"/>
    </row>
    <row r="220" spans="1:15" s="3" customFormat="1" x14ac:dyDescent="0.2">
      <c r="A220" s="40">
        <v>3745</v>
      </c>
      <c r="B220" s="50">
        <v>5169</v>
      </c>
      <c r="C220" s="290" t="s">
        <v>146</v>
      </c>
      <c r="D220" s="46">
        <v>30</v>
      </c>
      <c r="E220" s="153">
        <v>30</v>
      </c>
      <c r="F220" s="46">
        <v>0</v>
      </c>
      <c r="G220" s="46">
        <v>32000</v>
      </c>
      <c r="H220" s="72">
        <v>30</v>
      </c>
      <c r="I220" s="126"/>
      <c r="J220" s="38"/>
      <c r="K220" s="13"/>
      <c r="L220" s="5"/>
      <c r="M220" s="5"/>
      <c r="N220" s="5"/>
      <c r="O220" s="5"/>
    </row>
    <row r="221" spans="1:15" s="3" customFormat="1" x14ac:dyDescent="0.2">
      <c r="A221" s="40">
        <v>3745</v>
      </c>
      <c r="B221" s="50">
        <v>5169</v>
      </c>
      <c r="C221" s="290" t="s">
        <v>116</v>
      </c>
      <c r="D221" s="46">
        <v>2400</v>
      </c>
      <c r="E221" s="153">
        <v>2400</v>
      </c>
      <c r="F221" s="46">
        <v>1861219.4</v>
      </c>
      <c r="G221" s="331">
        <f>1861219.4+450000</f>
        <v>2311219.4</v>
      </c>
      <c r="H221" s="72">
        <f>2400+384</f>
        <v>2784</v>
      </c>
      <c r="I221" s="126"/>
      <c r="J221" s="38"/>
      <c r="K221" s="13"/>
      <c r="L221" s="5"/>
      <c r="M221" s="5"/>
      <c r="N221" s="5"/>
      <c r="O221" s="5"/>
    </row>
    <row r="222" spans="1:15" s="3" customFormat="1" ht="30" x14ac:dyDescent="0.2">
      <c r="A222" s="40">
        <v>3745</v>
      </c>
      <c r="B222" s="50">
        <v>5169</v>
      </c>
      <c r="C222" s="290" t="s">
        <v>278</v>
      </c>
      <c r="D222" s="46">
        <v>80</v>
      </c>
      <c r="E222" s="153">
        <v>80</v>
      </c>
      <c r="F222" s="46">
        <v>0</v>
      </c>
      <c r="G222" s="46">
        <v>0</v>
      </c>
      <c r="H222" s="72">
        <v>80</v>
      </c>
      <c r="I222" s="126"/>
      <c r="J222" s="38"/>
      <c r="K222" s="13"/>
      <c r="L222" s="5"/>
      <c r="M222" s="5"/>
      <c r="N222" s="5"/>
      <c r="O222" s="5"/>
    </row>
    <row r="223" spans="1:15" s="3" customFormat="1" x14ac:dyDescent="0.2">
      <c r="A223" s="40">
        <v>3745</v>
      </c>
      <c r="B223" s="50">
        <v>5171</v>
      </c>
      <c r="C223" s="290" t="s">
        <v>147</v>
      </c>
      <c r="D223" s="46">
        <v>20</v>
      </c>
      <c r="E223" s="153">
        <v>20</v>
      </c>
      <c r="F223" s="46">
        <v>40212.800000000003</v>
      </c>
      <c r="G223" s="46">
        <v>40212.800000000003</v>
      </c>
      <c r="H223" s="72">
        <v>20</v>
      </c>
      <c r="I223" s="126"/>
      <c r="J223" s="28"/>
      <c r="K223" s="13"/>
      <c r="L223" s="5"/>
      <c r="M223" s="5"/>
      <c r="N223" s="5"/>
      <c r="O223" s="5"/>
    </row>
    <row r="224" spans="1:15" s="3" customFormat="1" x14ac:dyDescent="0.2">
      <c r="A224" s="40">
        <v>3745</v>
      </c>
      <c r="B224" s="50">
        <v>5171</v>
      </c>
      <c r="C224" s="290" t="s">
        <v>183</v>
      </c>
      <c r="D224" s="46">
        <v>100</v>
      </c>
      <c r="E224" s="153">
        <v>150</v>
      </c>
      <c r="F224" s="46">
        <v>138487.53</v>
      </c>
      <c r="G224" s="46">
        <v>138487.53</v>
      </c>
      <c r="H224" s="72"/>
      <c r="I224" s="126"/>
      <c r="J224" s="28"/>
      <c r="K224" s="13"/>
      <c r="L224" s="5"/>
      <c r="M224" s="5"/>
      <c r="N224" s="5"/>
      <c r="O224" s="5"/>
    </row>
    <row r="225" spans="1:15" s="3" customFormat="1" ht="30" x14ac:dyDescent="0.2">
      <c r="A225" s="40">
        <v>3745</v>
      </c>
      <c r="B225" s="50">
        <v>6121</v>
      </c>
      <c r="C225" s="290" t="s">
        <v>182</v>
      </c>
      <c r="D225" s="46">
        <v>500</v>
      </c>
      <c r="E225" s="153">
        <v>2600</v>
      </c>
      <c r="F225" s="46">
        <v>1538916.2</v>
      </c>
      <c r="G225" s="46">
        <f>1538916.2+852400.47</f>
        <v>2391316.67</v>
      </c>
      <c r="H225" s="72">
        <v>112</v>
      </c>
      <c r="I225" s="126"/>
      <c r="J225" s="38"/>
      <c r="K225" s="13"/>
      <c r="L225" s="5"/>
      <c r="M225" s="5"/>
      <c r="N225" s="5"/>
      <c r="O225" s="5"/>
    </row>
    <row r="226" spans="1:15" s="3" customFormat="1" x14ac:dyDescent="0.2">
      <c r="A226" s="40">
        <v>3745</v>
      </c>
      <c r="B226" s="50">
        <v>6129</v>
      </c>
      <c r="C226" s="113" t="s">
        <v>279</v>
      </c>
      <c r="D226" s="153">
        <v>0</v>
      </c>
      <c r="E226" s="153">
        <v>300</v>
      </c>
      <c r="F226" s="153">
        <v>0</v>
      </c>
      <c r="G226" s="153">
        <v>0</v>
      </c>
      <c r="H226" s="72">
        <v>0</v>
      </c>
      <c r="I226" s="126"/>
      <c r="J226" s="38"/>
      <c r="K226" s="13"/>
      <c r="L226" s="5"/>
      <c r="M226" s="5"/>
      <c r="N226" s="5"/>
      <c r="O226" s="5"/>
    </row>
    <row r="227" spans="1:15" s="3" customFormat="1" ht="15.75" x14ac:dyDescent="0.25">
      <c r="A227" s="158">
        <v>3745</v>
      </c>
      <c r="B227" s="159"/>
      <c r="C227" s="160" t="s">
        <v>35</v>
      </c>
      <c r="D227" s="168">
        <f>SUM(D217:D226)</f>
        <v>3405</v>
      </c>
      <c r="E227" s="168">
        <f>SUM(E217:E226)</f>
        <v>5855</v>
      </c>
      <c r="F227" s="168">
        <f>SUM(F217:F226)</f>
        <v>3615235.9299999997</v>
      </c>
      <c r="G227" s="168">
        <f>SUM(G217:G226)</f>
        <v>4949636.3999999994</v>
      </c>
      <c r="H227" s="241">
        <f>SUM(H217:H226)</f>
        <v>3301</v>
      </c>
      <c r="I227" s="116">
        <f>H227</f>
        <v>3301</v>
      </c>
      <c r="J227" s="38"/>
      <c r="K227" s="13"/>
      <c r="L227" s="5"/>
      <c r="M227" s="5"/>
      <c r="N227" s="5"/>
      <c r="O227" s="5"/>
    </row>
    <row r="228" spans="1:15" s="3" customFormat="1" ht="15.75" x14ac:dyDescent="0.25">
      <c r="A228" s="39"/>
      <c r="B228" s="48"/>
      <c r="C228" s="85"/>
      <c r="D228" s="51"/>
      <c r="E228" s="161"/>
      <c r="F228" s="168"/>
      <c r="G228" s="116"/>
      <c r="H228" s="229"/>
      <c r="I228" s="116"/>
      <c r="J228" s="38"/>
      <c r="K228" s="13"/>
      <c r="L228" s="5"/>
      <c r="M228" s="5"/>
      <c r="N228" s="5"/>
      <c r="O228" s="5"/>
    </row>
    <row r="229" spans="1:15" s="3" customFormat="1" ht="15.75" x14ac:dyDescent="0.25">
      <c r="A229" s="39">
        <v>3900</v>
      </c>
      <c r="B229" s="62">
        <v>5139</v>
      </c>
      <c r="C229" s="85" t="s">
        <v>280</v>
      </c>
      <c r="D229" s="45">
        <v>3</v>
      </c>
      <c r="E229" s="223">
        <v>3</v>
      </c>
      <c r="F229" s="45">
        <v>0</v>
      </c>
      <c r="G229" s="45">
        <v>0</v>
      </c>
      <c r="H229" s="72">
        <v>0</v>
      </c>
      <c r="I229" s="116"/>
      <c r="J229" s="38"/>
      <c r="K229" s="13"/>
      <c r="L229" s="5"/>
      <c r="M229" s="5"/>
      <c r="N229" s="5"/>
      <c r="O229" s="5"/>
    </row>
    <row r="230" spans="1:15" s="3" customFormat="1" x14ac:dyDescent="0.2">
      <c r="A230" s="40">
        <v>3900</v>
      </c>
      <c r="B230" s="50">
        <v>5161</v>
      </c>
      <c r="C230" s="290" t="s">
        <v>18</v>
      </c>
      <c r="D230" s="46">
        <v>10</v>
      </c>
      <c r="E230" s="153">
        <v>10</v>
      </c>
      <c r="F230" s="46">
        <f>5526+300</f>
        <v>5826</v>
      </c>
      <c r="G230" s="46">
        <f>5526+300</f>
        <v>5826</v>
      </c>
      <c r="H230" s="72">
        <v>10</v>
      </c>
      <c r="I230" s="126"/>
      <c r="J230" s="38"/>
      <c r="K230" s="13"/>
      <c r="L230" s="5"/>
      <c r="M230" s="5"/>
      <c r="N230" s="5"/>
      <c r="O230" s="5"/>
    </row>
    <row r="231" spans="1:15" s="3" customFormat="1" x14ac:dyDescent="0.2">
      <c r="A231" s="40">
        <v>3900</v>
      </c>
      <c r="B231" s="50">
        <v>5194</v>
      </c>
      <c r="C231" s="290" t="s">
        <v>316</v>
      </c>
      <c r="D231" s="46">
        <v>5</v>
      </c>
      <c r="E231" s="153">
        <v>5</v>
      </c>
      <c r="F231" s="46">
        <f>2402+826+1200</f>
        <v>4428</v>
      </c>
      <c r="G231" s="46">
        <f>2402+826+1200</f>
        <v>4428</v>
      </c>
      <c r="H231" s="72">
        <v>21</v>
      </c>
      <c r="I231" s="126"/>
      <c r="J231" s="38"/>
      <c r="K231" s="13"/>
      <c r="L231" s="5"/>
      <c r="M231" s="5"/>
      <c r="N231" s="5"/>
      <c r="O231" s="5"/>
    </row>
    <row r="232" spans="1:15" s="3" customFormat="1" x14ac:dyDescent="0.2">
      <c r="A232" s="40">
        <v>3900</v>
      </c>
      <c r="B232" s="50">
        <v>5221</v>
      </c>
      <c r="C232" s="290" t="s">
        <v>210</v>
      </c>
      <c r="D232" s="46">
        <v>20</v>
      </c>
      <c r="E232" s="153">
        <v>0</v>
      </c>
      <c r="F232" s="46">
        <v>0</v>
      </c>
      <c r="G232" s="46">
        <v>0</v>
      </c>
      <c r="H232" s="72">
        <v>20</v>
      </c>
      <c r="I232" s="126"/>
      <c r="J232" s="38"/>
      <c r="K232" s="13"/>
      <c r="L232" s="5"/>
      <c r="M232" s="5"/>
      <c r="N232" s="5"/>
      <c r="O232" s="5"/>
    </row>
    <row r="233" spans="1:15" s="3" customFormat="1" x14ac:dyDescent="0.2">
      <c r="A233" s="40">
        <v>3900</v>
      </c>
      <c r="B233" s="50">
        <v>5221</v>
      </c>
      <c r="C233" s="290" t="s">
        <v>109</v>
      </c>
      <c r="D233" s="46">
        <v>0</v>
      </c>
      <c r="E233" s="153">
        <v>20</v>
      </c>
      <c r="F233" s="46">
        <v>20000</v>
      </c>
      <c r="G233" s="46">
        <v>20000</v>
      </c>
      <c r="H233" s="72">
        <v>0</v>
      </c>
      <c r="I233" s="126"/>
      <c r="J233" s="38"/>
      <c r="K233" s="13"/>
      <c r="L233" s="5"/>
      <c r="M233" s="5"/>
      <c r="N233" s="5"/>
      <c r="O233" s="5"/>
    </row>
    <row r="234" spans="1:15" s="3" customFormat="1" x14ac:dyDescent="0.2">
      <c r="A234" s="40">
        <v>3900</v>
      </c>
      <c r="B234" s="50">
        <v>5222</v>
      </c>
      <c r="C234" s="290" t="s">
        <v>206</v>
      </c>
      <c r="D234" s="46">
        <v>10</v>
      </c>
      <c r="E234" s="153">
        <v>0</v>
      </c>
      <c r="F234" s="46">
        <v>0</v>
      </c>
      <c r="G234" s="46">
        <v>0</v>
      </c>
      <c r="H234" s="72">
        <v>10</v>
      </c>
      <c r="I234" s="126"/>
      <c r="J234" s="38"/>
      <c r="K234" s="13"/>
      <c r="L234" s="5"/>
      <c r="M234" s="5"/>
      <c r="N234" s="5"/>
      <c r="O234" s="5"/>
    </row>
    <row r="235" spans="1:15" s="3" customFormat="1" x14ac:dyDescent="0.2">
      <c r="A235" s="40">
        <v>3900</v>
      </c>
      <c r="B235" s="50">
        <v>5222</v>
      </c>
      <c r="C235" s="290" t="s">
        <v>119</v>
      </c>
      <c r="D235" s="46">
        <v>0</v>
      </c>
      <c r="E235" s="153">
        <v>10</v>
      </c>
      <c r="F235" s="46">
        <v>10000</v>
      </c>
      <c r="G235" s="46">
        <v>10000</v>
      </c>
      <c r="H235" s="72">
        <v>0</v>
      </c>
      <c r="I235" s="126"/>
      <c r="J235" s="38"/>
      <c r="K235" s="13"/>
      <c r="L235" s="5"/>
      <c r="M235" s="5"/>
      <c r="N235" s="5"/>
      <c r="O235" s="5"/>
    </row>
    <row r="236" spans="1:15" s="3" customFormat="1" ht="30" x14ac:dyDescent="0.2">
      <c r="A236" s="40">
        <v>3900</v>
      </c>
      <c r="B236" s="50">
        <v>5499</v>
      </c>
      <c r="C236" s="290" t="s">
        <v>101</v>
      </c>
      <c r="D236" s="46">
        <v>30</v>
      </c>
      <c r="E236" s="153">
        <v>30</v>
      </c>
      <c r="F236" s="46">
        <v>25089</v>
      </c>
      <c r="G236" s="46">
        <v>25089</v>
      </c>
      <c r="H236" s="72">
        <v>42</v>
      </c>
      <c r="I236" s="126"/>
      <c r="J236" s="38"/>
      <c r="K236" s="13"/>
      <c r="L236" s="5"/>
      <c r="M236" s="5"/>
      <c r="N236" s="5"/>
      <c r="O236" s="5"/>
    </row>
    <row r="237" spans="1:15" s="3" customFormat="1" ht="15.75" x14ac:dyDescent="0.25">
      <c r="A237" s="174">
        <v>3900</v>
      </c>
      <c r="B237" s="175"/>
      <c r="C237" s="176" t="s">
        <v>99</v>
      </c>
      <c r="D237" s="56">
        <f>SUM(D229:D236)</f>
        <v>78</v>
      </c>
      <c r="E237" s="56">
        <f>SUM(E229:E236)</f>
        <v>78</v>
      </c>
      <c r="F237" s="56">
        <f>SUM(F229:F236)</f>
        <v>65343</v>
      </c>
      <c r="G237" s="56">
        <f>SUM(G229:G236)</f>
        <v>65343</v>
      </c>
      <c r="H237" s="57">
        <f>SUM(H229:H236)</f>
        <v>103</v>
      </c>
      <c r="I237" s="156">
        <f>H237</f>
        <v>103</v>
      </c>
      <c r="J237" s="38"/>
      <c r="K237" s="13"/>
      <c r="L237" s="5"/>
      <c r="M237" s="5"/>
      <c r="N237" s="5"/>
      <c r="O237" s="5"/>
    </row>
    <row r="238" spans="1:15" s="3" customFormat="1" ht="15.75" x14ac:dyDescent="0.25">
      <c r="A238" s="39"/>
      <c r="B238" s="48"/>
      <c r="C238" s="85"/>
      <c r="D238" s="51"/>
      <c r="E238" s="161"/>
      <c r="F238" s="168"/>
      <c r="G238" s="116"/>
      <c r="H238" s="229"/>
      <c r="I238" s="116"/>
      <c r="J238" s="38"/>
      <c r="K238" s="13"/>
      <c r="L238" s="5"/>
      <c r="M238" s="5"/>
      <c r="N238" s="5"/>
      <c r="O238" s="5"/>
    </row>
    <row r="239" spans="1:15" s="10" customFormat="1" x14ac:dyDescent="0.2">
      <c r="A239" s="39">
        <v>4341</v>
      </c>
      <c r="B239" s="48">
        <v>5492</v>
      </c>
      <c r="C239" s="85" t="s">
        <v>58</v>
      </c>
      <c r="D239" s="51">
        <v>20</v>
      </c>
      <c r="E239" s="45">
        <v>20</v>
      </c>
      <c r="F239" s="51">
        <v>20000</v>
      </c>
      <c r="G239" s="126">
        <v>20000</v>
      </c>
      <c r="H239" s="72">
        <v>20</v>
      </c>
      <c r="I239" s="126"/>
      <c r="J239" s="38"/>
      <c r="K239" s="13"/>
      <c r="L239" s="8"/>
      <c r="M239" s="8"/>
      <c r="N239" s="8"/>
      <c r="O239" s="8"/>
    </row>
    <row r="240" spans="1:15" s="6" customFormat="1" ht="15.75" x14ac:dyDescent="0.25">
      <c r="A240" s="174">
        <v>4341</v>
      </c>
      <c r="B240" s="175"/>
      <c r="C240" s="176" t="s">
        <v>75</v>
      </c>
      <c r="D240" s="56">
        <f>SUM(D239:D239)</f>
        <v>20</v>
      </c>
      <c r="E240" s="56">
        <f>SUM(E239:E239)</f>
        <v>20</v>
      </c>
      <c r="F240" s="56">
        <f>SUM(F239:F239)</f>
        <v>20000</v>
      </c>
      <c r="G240" s="56">
        <f>SUM(G239:G239)</f>
        <v>20000</v>
      </c>
      <c r="H240" s="57">
        <f>SUM(H239:H239)</f>
        <v>20</v>
      </c>
      <c r="I240" s="156">
        <f>H240</f>
        <v>20</v>
      </c>
      <c r="J240" s="38"/>
      <c r="K240" s="13"/>
      <c r="L240" s="7"/>
      <c r="M240" s="7"/>
      <c r="N240" s="7"/>
      <c r="O240" s="7"/>
    </row>
    <row r="241" spans="1:15" s="3" customFormat="1" ht="15.75" x14ac:dyDescent="0.25">
      <c r="A241" s="158"/>
      <c r="B241" s="159"/>
      <c r="C241" s="160"/>
      <c r="D241" s="168"/>
      <c r="E241" s="161"/>
      <c r="F241" s="168"/>
      <c r="G241" s="116"/>
      <c r="H241" s="229"/>
      <c r="I241" s="116"/>
      <c r="J241" s="38"/>
      <c r="K241" s="13"/>
      <c r="L241" s="5"/>
      <c r="M241" s="5"/>
      <c r="N241" s="5"/>
      <c r="O241" s="5"/>
    </row>
    <row r="242" spans="1:15" s="3" customFormat="1" x14ac:dyDescent="0.2">
      <c r="A242" s="39">
        <v>4344</v>
      </c>
      <c r="B242" s="62">
        <v>5222</v>
      </c>
      <c r="C242" s="85" t="s">
        <v>209</v>
      </c>
      <c r="D242" s="45">
        <v>60</v>
      </c>
      <c r="E242" s="223">
        <v>0</v>
      </c>
      <c r="F242" s="51">
        <v>0</v>
      </c>
      <c r="G242" s="51">
        <v>0</v>
      </c>
      <c r="H242" s="72">
        <v>60</v>
      </c>
      <c r="I242" s="126"/>
      <c r="J242" s="38"/>
      <c r="K242" s="13"/>
      <c r="L242" s="5"/>
      <c r="M242" s="5"/>
      <c r="N242" s="5"/>
      <c r="O242" s="5"/>
    </row>
    <row r="243" spans="1:15" s="12" customFormat="1" ht="31.5" x14ac:dyDescent="0.25">
      <c r="A243" s="40">
        <v>4344</v>
      </c>
      <c r="B243" s="50">
        <v>5222</v>
      </c>
      <c r="C243" s="290" t="s">
        <v>281</v>
      </c>
      <c r="D243" s="46">
        <v>0</v>
      </c>
      <c r="E243" s="153">
        <v>20</v>
      </c>
      <c r="F243" s="52">
        <v>20000</v>
      </c>
      <c r="G243" s="52">
        <v>20000</v>
      </c>
      <c r="H243" s="72">
        <v>0</v>
      </c>
      <c r="I243" s="126"/>
      <c r="J243" s="28"/>
      <c r="K243" s="28"/>
      <c r="L243" s="28"/>
      <c r="M243" s="13"/>
      <c r="N243" s="13"/>
      <c r="O243" s="13"/>
    </row>
    <row r="244" spans="1:15" s="12" customFormat="1" ht="15.75" x14ac:dyDescent="0.25">
      <c r="A244" s="40">
        <v>4344</v>
      </c>
      <c r="B244" s="50">
        <v>5222</v>
      </c>
      <c r="C244" s="290" t="s">
        <v>282</v>
      </c>
      <c r="D244" s="46">
        <v>0</v>
      </c>
      <c r="E244" s="153">
        <v>20</v>
      </c>
      <c r="F244" s="52">
        <v>20000</v>
      </c>
      <c r="G244" s="52">
        <v>20000</v>
      </c>
      <c r="H244" s="298">
        <v>0</v>
      </c>
      <c r="I244" s="299"/>
      <c r="J244" s="28"/>
      <c r="K244" s="28"/>
      <c r="L244" s="28"/>
      <c r="M244" s="13"/>
      <c r="N244" s="13"/>
      <c r="O244" s="13"/>
    </row>
    <row r="245" spans="1:15" s="12" customFormat="1" ht="30.75" x14ac:dyDescent="0.2">
      <c r="A245" s="40">
        <v>4344</v>
      </c>
      <c r="B245" s="50">
        <v>5222</v>
      </c>
      <c r="C245" s="290" t="s">
        <v>283</v>
      </c>
      <c r="D245" s="46">
        <v>0</v>
      </c>
      <c r="E245" s="153">
        <v>20</v>
      </c>
      <c r="F245" s="52">
        <v>20000</v>
      </c>
      <c r="G245" s="52">
        <v>20000</v>
      </c>
      <c r="H245" s="298">
        <v>0</v>
      </c>
      <c r="I245" s="299"/>
      <c r="J245" s="28"/>
      <c r="K245" s="28"/>
      <c r="L245" s="28"/>
      <c r="M245" s="13"/>
      <c r="N245" s="13"/>
      <c r="O245" s="13"/>
    </row>
    <row r="246" spans="1:15" s="3" customFormat="1" ht="15.75" x14ac:dyDescent="0.25">
      <c r="A246" s="177">
        <v>4344</v>
      </c>
      <c r="B246" s="178"/>
      <c r="C246" s="179" t="s">
        <v>73</v>
      </c>
      <c r="D246" s="180">
        <f>SUM(D242:D245)</f>
        <v>60</v>
      </c>
      <c r="E246" s="180">
        <f>SUM(E242:E245)</f>
        <v>60</v>
      </c>
      <c r="F246" s="180">
        <f>SUM(F242:F245)</f>
        <v>60000</v>
      </c>
      <c r="G246" s="180">
        <f>SUM(G242:G245)</f>
        <v>60000</v>
      </c>
      <c r="H246" s="245">
        <f>SUM(H242:H245)</f>
        <v>60</v>
      </c>
      <c r="I246" s="181">
        <f>H246</f>
        <v>60</v>
      </c>
      <c r="J246" s="38"/>
      <c r="K246" s="13"/>
      <c r="L246" s="5"/>
      <c r="M246" s="5"/>
      <c r="N246" s="5"/>
      <c r="O246" s="5"/>
    </row>
    <row r="247" spans="1:15" s="3" customFormat="1" ht="15.75" x14ac:dyDescent="0.25">
      <c r="A247" s="158"/>
      <c r="B247" s="48"/>
      <c r="C247" s="173"/>
      <c r="D247" s="85"/>
      <c r="E247" s="45"/>
      <c r="F247" s="51"/>
      <c r="G247" s="126"/>
      <c r="H247" s="133"/>
      <c r="I247" s="126"/>
      <c r="J247" s="28"/>
      <c r="K247" s="13"/>
      <c r="L247" s="5"/>
      <c r="M247" s="5"/>
      <c r="N247" s="5"/>
      <c r="O247" s="5"/>
    </row>
    <row r="248" spans="1:15" s="3" customFormat="1" x14ac:dyDescent="0.2">
      <c r="A248" s="39">
        <v>4357</v>
      </c>
      <c r="B248" s="62">
        <v>5041</v>
      </c>
      <c r="C248" s="85" t="s">
        <v>165</v>
      </c>
      <c r="D248" s="45">
        <v>2</v>
      </c>
      <c r="E248" s="223">
        <v>2</v>
      </c>
      <c r="F248" s="51">
        <v>1210</v>
      </c>
      <c r="G248" s="51">
        <v>1210</v>
      </c>
      <c r="H248" s="74">
        <v>2</v>
      </c>
      <c r="I248" s="154"/>
      <c r="J248" s="28"/>
      <c r="K248" s="13"/>
      <c r="L248" s="5"/>
      <c r="M248" s="5"/>
      <c r="N248" s="5"/>
      <c r="O248" s="5"/>
    </row>
    <row r="249" spans="1:15" s="10" customFormat="1" ht="30" x14ac:dyDescent="0.2">
      <c r="A249" s="40">
        <v>4357</v>
      </c>
      <c r="B249" s="50">
        <v>5137</v>
      </c>
      <c r="C249" s="290" t="s">
        <v>284</v>
      </c>
      <c r="D249" s="46">
        <v>18</v>
      </c>
      <c r="E249" s="153">
        <v>18</v>
      </c>
      <c r="F249" s="46">
        <v>5440</v>
      </c>
      <c r="G249" s="46">
        <v>5440</v>
      </c>
      <c r="H249" s="74">
        <v>13</v>
      </c>
      <c r="I249" s="154"/>
      <c r="J249" s="244"/>
      <c r="K249" s="13"/>
      <c r="L249" s="8"/>
      <c r="M249" s="8"/>
      <c r="N249" s="8"/>
      <c r="O249" s="8"/>
    </row>
    <row r="250" spans="1:15" s="10" customFormat="1" x14ac:dyDescent="0.2">
      <c r="A250" s="40">
        <v>4357</v>
      </c>
      <c r="B250" s="50">
        <v>5139</v>
      </c>
      <c r="C250" s="290" t="s">
        <v>8</v>
      </c>
      <c r="D250" s="46">
        <v>5</v>
      </c>
      <c r="E250" s="153">
        <v>5</v>
      </c>
      <c r="F250" s="46">
        <v>0</v>
      </c>
      <c r="G250" s="46">
        <v>5000</v>
      </c>
      <c r="H250" s="72">
        <v>5</v>
      </c>
      <c r="I250" s="126"/>
      <c r="J250" s="12"/>
      <c r="K250" s="13"/>
      <c r="L250" s="8"/>
      <c r="M250" s="8"/>
      <c r="N250" s="8"/>
      <c r="O250" s="8"/>
    </row>
    <row r="251" spans="1:15" s="10" customFormat="1" x14ac:dyDescent="0.2">
      <c r="A251" s="40">
        <v>4357</v>
      </c>
      <c r="B251" s="50">
        <v>5139</v>
      </c>
      <c r="C251" s="290" t="s">
        <v>285</v>
      </c>
      <c r="D251" s="46"/>
      <c r="E251" s="153">
        <v>3.7</v>
      </c>
      <c r="F251" s="46">
        <v>3639</v>
      </c>
      <c r="G251" s="46">
        <v>3639</v>
      </c>
      <c r="H251" s="74">
        <v>0</v>
      </c>
      <c r="I251" s="154"/>
      <c r="J251" s="12"/>
      <c r="K251" s="13"/>
      <c r="L251" s="8"/>
      <c r="M251" s="8"/>
      <c r="N251" s="8"/>
      <c r="O251" s="8"/>
    </row>
    <row r="252" spans="1:15" s="10" customFormat="1" x14ac:dyDescent="0.2">
      <c r="A252" s="40">
        <v>4357</v>
      </c>
      <c r="B252" s="50">
        <v>5169</v>
      </c>
      <c r="C252" s="290" t="s">
        <v>102</v>
      </c>
      <c r="D252" s="46">
        <v>25</v>
      </c>
      <c r="E252" s="153">
        <v>25</v>
      </c>
      <c r="F252" s="46">
        <f>15000+5000</f>
        <v>20000</v>
      </c>
      <c r="G252" s="46">
        <f>15000+5000+18080</f>
        <v>38080</v>
      </c>
      <c r="H252" s="74">
        <v>25</v>
      </c>
      <c r="I252" s="154"/>
      <c r="J252" s="12"/>
      <c r="K252" s="13"/>
      <c r="L252" s="8"/>
      <c r="M252" s="8"/>
      <c r="N252" s="8"/>
      <c r="O252" s="8"/>
    </row>
    <row r="253" spans="1:15" s="10" customFormat="1" ht="30" x14ac:dyDescent="0.2">
      <c r="A253" s="40">
        <v>4357</v>
      </c>
      <c r="B253" s="50">
        <v>5169</v>
      </c>
      <c r="C253" s="290" t="s">
        <v>286</v>
      </c>
      <c r="D253" s="46">
        <v>38</v>
      </c>
      <c r="E253" s="153">
        <v>38</v>
      </c>
      <c r="F253" s="46">
        <v>10986.8</v>
      </c>
      <c r="G253" s="46">
        <f>10986.8+6655</f>
        <v>17641.8</v>
      </c>
      <c r="H253" s="74">
        <v>35</v>
      </c>
      <c r="I253" s="154"/>
      <c r="J253" s="244"/>
      <c r="K253" s="13"/>
      <c r="L253" s="8"/>
      <c r="M253" s="8"/>
      <c r="N253" s="8"/>
      <c r="O253" s="8"/>
    </row>
    <row r="254" spans="1:15" s="10" customFormat="1" ht="30" x14ac:dyDescent="0.2">
      <c r="A254" s="40">
        <v>4357</v>
      </c>
      <c r="B254" s="50">
        <v>5171</v>
      </c>
      <c r="C254" s="300" t="s">
        <v>339</v>
      </c>
      <c r="D254" s="46">
        <v>500</v>
      </c>
      <c r="E254" s="153">
        <v>500</v>
      </c>
      <c r="F254" s="46">
        <f>20124+22500</f>
        <v>42624</v>
      </c>
      <c r="G254" s="46">
        <f>20124+22500</f>
        <v>42624</v>
      </c>
      <c r="H254" s="74">
        <v>500</v>
      </c>
      <c r="I254" s="154"/>
      <c r="J254" s="12"/>
      <c r="K254" s="13"/>
      <c r="L254" s="8"/>
      <c r="M254" s="8"/>
      <c r="N254" s="8"/>
      <c r="O254" s="8"/>
    </row>
    <row r="255" spans="1:15" s="10" customFormat="1" x14ac:dyDescent="0.2">
      <c r="A255" s="40">
        <v>4357</v>
      </c>
      <c r="B255" s="50">
        <v>5175</v>
      </c>
      <c r="C255" s="290" t="s">
        <v>21</v>
      </c>
      <c r="D255" s="46">
        <v>10</v>
      </c>
      <c r="E255" s="153">
        <v>10</v>
      </c>
      <c r="F255" s="46">
        <f>7384+2083+89</f>
        <v>9556</v>
      </c>
      <c r="G255" s="46">
        <f>7384+2083+89</f>
        <v>9556</v>
      </c>
      <c r="H255" s="74">
        <v>10</v>
      </c>
      <c r="I255" s="154"/>
      <c r="J255" s="12"/>
      <c r="K255" s="13"/>
      <c r="L255" s="8"/>
      <c r="M255" s="8"/>
      <c r="N255" s="8"/>
      <c r="O255" s="8"/>
    </row>
    <row r="256" spans="1:15" s="10" customFormat="1" ht="42.75" customHeight="1" x14ac:dyDescent="0.2">
      <c r="A256" s="40">
        <v>4357</v>
      </c>
      <c r="B256" s="50">
        <v>5194</v>
      </c>
      <c r="C256" s="290" t="s">
        <v>287</v>
      </c>
      <c r="D256" s="46">
        <v>0</v>
      </c>
      <c r="E256" s="153">
        <v>0</v>
      </c>
      <c r="F256" s="46">
        <f>2068+1200</f>
        <v>3268</v>
      </c>
      <c r="G256" s="46">
        <f>2068+1200</f>
        <v>3268</v>
      </c>
      <c r="H256" s="74">
        <v>5</v>
      </c>
      <c r="I256" s="154"/>
      <c r="J256" s="13"/>
      <c r="K256" s="13"/>
      <c r="L256" s="8"/>
      <c r="M256" s="8"/>
      <c r="N256" s="8"/>
      <c r="O256" s="8"/>
    </row>
    <row r="257" spans="1:15" s="3" customFormat="1" ht="31.5" x14ac:dyDescent="0.25">
      <c r="A257" s="158">
        <v>4357</v>
      </c>
      <c r="B257" s="159"/>
      <c r="C257" s="268" t="s">
        <v>340</v>
      </c>
      <c r="D257" s="168">
        <f>SUM(D248:D256)</f>
        <v>598</v>
      </c>
      <c r="E257" s="168">
        <f>SUM(E248:E256)</f>
        <v>601.70000000000005</v>
      </c>
      <c r="F257" s="168">
        <f>SUM(F248:F256)</f>
        <v>96723.8</v>
      </c>
      <c r="G257" s="168">
        <f>SUM(G248:G256)</f>
        <v>126458.8</v>
      </c>
      <c r="H257" s="57">
        <f>SUM(H248:H256)</f>
        <v>595</v>
      </c>
      <c r="I257" s="116">
        <f>H257</f>
        <v>595</v>
      </c>
      <c r="J257" s="244"/>
      <c r="K257" s="13"/>
      <c r="L257" s="5"/>
      <c r="M257" s="5"/>
      <c r="N257" s="5"/>
      <c r="O257" s="5"/>
    </row>
    <row r="258" spans="1:15" s="3" customFormat="1" ht="15.75" x14ac:dyDescent="0.25">
      <c r="A258" s="158"/>
      <c r="B258" s="159"/>
      <c r="C258" s="160"/>
      <c r="D258" s="168"/>
      <c r="E258" s="161"/>
      <c r="F258" s="168"/>
      <c r="G258" s="116"/>
      <c r="H258" s="229"/>
      <c r="I258" s="116"/>
      <c r="J258" s="12"/>
      <c r="K258" s="13"/>
      <c r="L258" s="5"/>
      <c r="M258" s="5"/>
      <c r="N258" s="5"/>
      <c r="O258" s="5"/>
    </row>
    <row r="259" spans="1:15" s="3" customFormat="1" x14ac:dyDescent="0.2">
      <c r="A259" s="39">
        <v>4359</v>
      </c>
      <c r="B259" s="62">
        <v>5139</v>
      </c>
      <c r="C259" s="85" t="s">
        <v>8</v>
      </c>
      <c r="D259" s="45">
        <v>2</v>
      </c>
      <c r="E259" s="223">
        <v>2</v>
      </c>
      <c r="F259" s="45">
        <v>456</v>
      </c>
      <c r="G259" s="45">
        <v>456</v>
      </c>
      <c r="H259" s="72">
        <v>2</v>
      </c>
      <c r="I259" s="126"/>
      <c r="J259" s="12"/>
      <c r="K259" s="13"/>
      <c r="L259" s="5"/>
      <c r="M259" s="5"/>
      <c r="N259" s="5"/>
      <c r="O259" s="5"/>
    </row>
    <row r="260" spans="1:15" s="3" customFormat="1" x14ac:dyDescent="0.2">
      <c r="A260" s="40">
        <v>4359</v>
      </c>
      <c r="B260" s="50">
        <v>5169</v>
      </c>
      <c r="C260" s="290" t="s">
        <v>184</v>
      </c>
      <c r="D260" s="46">
        <v>4</v>
      </c>
      <c r="E260" s="153">
        <v>4</v>
      </c>
      <c r="F260" s="46">
        <v>0</v>
      </c>
      <c r="G260" s="46">
        <v>0</v>
      </c>
      <c r="H260" s="72">
        <v>4</v>
      </c>
      <c r="I260" s="126"/>
      <c r="J260" s="12"/>
      <c r="K260" s="13"/>
      <c r="L260" s="5"/>
      <c r="M260" s="5"/>
      <c r="N260" s="5"/>
      <c r="O260" s="5"/>
    </row>
    <row r="261" spans="1:15" s="3" customFormat="1" x14ac:dyDescent="0.2">
      <c r="A261" s="60">
        <v>4359</v>
      </c>
      <c r="B261" s="97">
        <v>5175</v>
      </c>
      <c r="C261" s="291" t="s">
        <v>21</v>
      </c>
      <c r="D261" s="46">
        <v>4</v>
      </c>
      <c r="E261" s="153">
        <v>4</v>
      </c>
      <c r="F261" s="46">
        <v>2295</v>
      </c>
      <c r="G261" s="46">
        <v>4000</v>
      </c>
      <c r="H261" s="72">
        <v>4</v>
      </c>
      <c r="I261" s="126"/>
      <c r="J261" s="12"/>
      <c r="K261" s="13"/>
      <c r="L261" s="5"/>
      <c r="M261" s="5"/>
      <c r="N261" s="5"/>
      <c r="O261" s="5"/>
    </row>
    <row r="262" spans="1:15" s="3" customFormat="1" ht="15.75" x14ac:dyDescent="0.25">
      <c r="A262" s="158">
        <v>4359</v>
      </c>
      <c r="B262" s="159"/>
      <c r="C262" s="160" t="s">
        <v>76</v>
      </c>
      <c r="D262" s="168">
        <f>SUM(D259:D261)</f>
        <v>10</v>
      </c>
      <c r="E262" s="161">
        <f>SUM(E259:E261)</f>
        <v>10</v>
      </c>
      <c r="F262" s="168">
        <f>SUM(F259:F261)</f>
        <v>2751</v>
      </c>
      <c r="G262" s="168">
        <f>SUM(G259:G261)</f>
        <v>4456</v>
      </c>
      <c r="H262" s="241">
        <f>SUM(H259:H261)</f>
        <v>10</v>
      </c>
      <c r="I262" s="156">
        <f>H262</f>
        <v>10</v>
      </c>
      <c r="J262" s="12"/>
      <c r="K262" s="13"/>
      <c r="L262" s="5"/>
      <c r="M262" s="5"/>
      <c r="N262" s="5"/>
      <c r="O262" s="5"/>
    </row>
    <row r="263" spans="1:15" s="3" customFormat="1" ht="15.75" x14ac:dyDescent="0.25">
      <c r="A263" s="158"/>
      <c r="B263" s="159"/>
      <c r="C263" s="160"/>
      <c r="D263" s="168"/>
      <c r="E263" s="161"/>
      <c r="F263" s="168"/>
      <c r="G263" s="116"/>
      <c r="H263" s="241"/>
      <c r="I263" s="156"/>
      <c r="J263" s="12"/>
      <c r="K263" s="13"/>
      <c r="L263" s="5"/>
      <c r="M263" s="5"/>
      <c r="N263" s="5"/>
      <c r="O263" s="5"/>
    </row>
    <row r="264" spans="1:15" s="12" customFormat="1" x14ac:dyDescent="0.2">
      <c r="A264" s="39">
        <v>5311</v>
      </c>
      <c r="B264" s="48">
        <v>5492</v>
      </c>
      <c r="C264" s="85" t="s">
        <v>58</v>
      </c>
      <c r="D264" s="51">
        <v>16</v>
      </c>
      <c r="E264" s="45">
        <v>16</v>
      </c>
      <c r="F264" s="51">
        <v>0</v>
      </c>
      <c r="G264" s="126">
        <v>16000</v>
      </c>
      <c r="H264" s="72">
        <v>16</v>
      </c>
      <c r="I264" s="126"/>
      <c r="K264" s="13"/>
      <c r="L264" s="13"/>
      <c r="M264" s="13"/>
      <c r="N264" s="13"/>
      <c r="O264" s="13"/>
    </row>
    <row r="265" spans="1:15" s="3" customFormat="1" ht="15.75" x14ac:dyDescent="0.25">
      <c r="A265" s="174">
        <v>5311</v>
      </c>
      <c r="B265" s="175"/>
      <c r="C265" s="176" t="s">
        <v>77</v>
      </c>
      <c r="D265" s="56">
        <f>SUM(D264:D264)</f>
        <v>16</v>
      </c>
      <c r="E265" s="56">
        <f>SUM(E264:E264)</f>
        <v>16</v>
      </c>
      <c r="F265" s="56">
        <f>SUM(F264:F264)</f>
        <v>0</v>
      </c>
      <c r="G265" s="56">
        <f>SUM(G264:G264)</f>
        <v>16000</v>
      </c>
      <c r="H265" s="57">
        <f>SUM(H264:H264)</f>
        <v>16</v>
      </c>
      <c r="I265" s="156">
        <f>H265</f>
        <v>16</v>
      </c>
      <c r="J265" s="12"/>
      <c r="K265" s="13"/>
      <c r="L265" s="5"/>
      <c r="M265" s="5"/>
      <c r="N265" s="5"/>
      <c r="O265" s="5"/>
    </row>
    <row r="266" spans="1:15" s="3" customFormat="1" ht="15.75" x14ac:dyDescent="0.25">
      <c r="A266" s="174"/>
      <c r="B266" s="175"/>
      <c r="C266" s="176"/>
      <c r="D266" s="56"/>
      <c r="E266" s="168"/>
      <c r="F266" s="168"/>
      <c r="G266" s="116"/>
      <c r="H266" s="229"/>
      <c r="I266" s="156"/>
      <c r="J266" s="12"/>
      <c r="K266" s="13"/>
      <c r="L266" s="5"/>
      <c r="M266" s="5"/>
      <c r="N266" s="5"/>
      <c r="O266" s="5"/>
    </row>
    <row r="267" spans="1:15" s="3" customFormat="1" x14ac:dyDescent="0.2">
      <c r="A267" s="39">
        <v>5512</v>
      </c>
      <c r="B267" s="62">
        <v>5132</v>
      </c>
      <c r="C267" s="85" t="s">
        <v>63</v>
      </c>
      <c r="D267" s="45">
        <v>45</v>
      </c>
      <c r="E267" s="223">
        <v>45</v>
      </c>
      <c r="F267" s="45">
        <v>75104</v>
      </c>
      <c r="G267" s="45">
        <v>75104</v>
      </c>
      <c r="H267" s="72">
        <v>45</v>
      </c>
      <c r="I267" s="126"/>
      <c r="J267" s="12"/>
      <c r="K267" s="13"/>
      <c r="L267" s="5"/>
      <c r="M267" s="5"/>
      <c r="N267" s="5"/>
      <c r="O267" s="5"/>
    </row>
    <row r="268" spans="1:15" s="3" customFormat="1" x14ac:dyDescent="0.2">
      <c r="A268" s="40">
        <v>5512</v>
      </c>
      <c r="B268" s="50">
        <v>5132</v>
      </c>
      <c r="C268" s="290" t="s">
        <v>112</v>
      </c>
      <c r="D268" s="46">
        <v>0</v>
      </c>
      <c r="E268" s="153">
        <v>40</v>
      </c>
      <c r="F268" s="46">
        <v>19140</v>
      </c>
      <c r="G268" s="46">
        <v>19140</v>
      </c>
      <c r="H268" s="72">
        <v>0</v>
      </c>
      <c r="I268" s="126"/>
      <c r="J268" s="12"/>
      <c r="K268" s="13"/>
      <c r="L268" s="5"/>
      <c r="M268" s="5"/>
      <c r="N268" s="5"/>
      <c r="O268" s="5"/>
    </row>
    <row r="269" spans="1:15" s="3" customFormat="1" x14ac:dyDescent="0.2">
      <c r="A269" s="40">
        <v>5512</v>
      </c>
      <c r="B269" s="50">
        <v>5137</v>
      </c>
      <c r="C269" s="290" t="s">
        <v>64</v>
      </c>
      <c r="D269" s="46">
        <v>40</v>
      </c>
      <c r="E269" s="153">
        <v>40</v>
      </c>
      <c r="F269" s="46">
        <v>23608</v>
      </c>
      <c r="G269" s="46">
        <v>23608</v>
      </c>
      <c r="H269" s="72">
        <v>40</v>
      </c>
      <c r="I269" s="126"/>
      <c r="J269" s="12"/>
      <c r="K269" s="13"/>
      <c r="L269" s="5"/>
      <c r="M269" s="5"/>
      <c r="N269" s="5"/>
      <c r="O269" s="5"/>
    </row>
    <row r="270" spans="1:15" s="3" customFormat="1" x14ac:dyDescent="0.2">
      <c r="A270" s="40">
        <v>5512</v>
      </c>
      <c r="B270" s="50">
        <v>5137</v>
      </c>
      <c r="C270" s="290" t="s">
        <v>160</v>
      </c>
      <c r="D270" s="46">
        <v>0</v>
      </c>
      <c r="E270" s="153">
        <v>0</v>
      </c>
      <c r="F270" s="46">
        <v>15000</v>
      </c>
      <c r="G270" s="46">
        <v>15000</v>
      </c>
      <c r="H270" s="72">
        <v>0</v>
      </c>
      <c r="I270" s="126"/>
      <c r="J270" s="12"/>
      <c r="K270" s="13"/>
      <c r="L270" s="5"/>
      <c r="M270" s="5"/>
      <c r="N270" s="5"/>
      <c r="O270" s="5"/>
    </row>
    <row r="271" spans="1:15" s="3" customFormat="1" x14ac:dyDescent="0.2">
      <c r="A271" s="40">
        <v>5512</v>
      </c>
      <c r="B271" s="50">
        <v>5139</v>
      </c>
      <c r="C271" s="290" t="s">
        <v>65</v>
      </c>
      <c r="D271" s="46">
        <v>65</v>
      </c>
      <c r="E271" s="153">
        <v>65</v>
      </c>
      <c r="F271" s="46">
        <f>72083+964</f>
        <v>73047</v>
      </c>
      <c r="G271" s="46">
        <f>72083+964</f>
        <v>73047</v>
      </c>
      <c r="H271" s="72">
        <v>65</v>
      </c>
      <c r="I271" s="126"/>
      <c r="J271" s="12"/>
      <c r="K271" s="13"/>
      <c r="L271" s="5"/>
      <c r="M271" s="5"/>
      <c r="N271" s="5"/>
      <c r="O271" s="5"/>
    </row>
    <row r="272" spans="1:15" s="3" customFormat="1" x14ac:dyDescent="0.2">
      <c r="A272" s="40">
        <v>5512</v>
      </c>
      <c r="B272" s="50">
        <v>5139</v>
      </c>
      <c r="C272" s="290" t="s">
        <v>110</v>
      </c>
      <c r="D272" s="46">
        <v>0</v>
      </c>
      <c r="E272" s="153">
        <v>20</v>
      </c>
      <c r="F272" s="46">
        <v>0</v>
      </c>
      <c r="G272" s="46">
        <v>0</v>
      </c>
      <c r="H272" s="72">
        <v>0</v>
      </c>
      <c r="I272" s="126"/>
      <c r="J272" s="12"/>
      <c r="K272" s="13"/>
      <c r="L272" s="5"/>
      <c r="M272" s="5"/>
      <c r="N272" s="5"/>
      <c r="O272" s="5"/>
    </row>
    <row r="273" spans="1:15" s="3" customFormat="1" x14ac:dyDescent="0.2">
      <c r="A273" s="40">
        <v>5512</v>
      </c>
      <c r="B273" s="50">
        <v>5151</v>
      </c>
      <c r="C273" s="290" t="s">
        <v>15</v>
      </c>
      <c r="D273" s="46">
        <v>10</v>
      </c>
      <c r="E273" s="153">
        <v>10</v>
      </c>
      <c r="F273" s="46">
        <v>8156</v>
      </c>
      <c r="G273" s="46">
        <v>8156</v>
      </c>
      <c r="H273" s="72">
        <v>10</v>
      </c>
      <c r="I273" s="126"/>
      <c r="J273" s="12"/>
      <c r="K273" s="13"/>
      <c r="L273" s="5"/>
      <c r="M273" s="5"/>
      <c r="N273" s="5"/>
      <c r="O273" s="5"/>
    </row>
    <row r="274" spans="1:15" s="3" customFormat="1" x14ac:dyDescent="0.2">
      <c r="A274" s="40">
        <v>5512</v>
      </c>
      <c r="B274" s="50">
        <v>5153</v>
      </c>
      <c r="C274" s="290" t="s">
        <v>16</v>
      </c>
      <c r="D274" s="46">
        <v>115</v>
      </c>
      <c r="E274" s="153">
        <v>115</v>
      </c>
      <c r="F274" s="46">
        <v>79600</v>
      </c>
      <c r="G274" s="46">
        <v>79600</v>
      </c>
      <c r="H274" s="72">
        <v>115</v>
      </c>
      <c r="I274" s="126"/>
      <c r="J274" s="12"/>
      <c r="K274" s="13"/>
      <c r="L274" s="5"/>
      <c r="M274" s="5"/>
      <c r="N274" s="5"/>
      <c r="O274" s="5"/>
    </row>
    <row r="275" spans="1:15" s="3" customFormat="1" x14ac:dyDescent="0.2">
      <c r="A275" s="40">
        <v>5512</v>
      </c>
      <c r="B275" s="50">
        <v>5154</v>
      </c>
      <c r="C275" s="290" t="s">
        <v>17</v>
      </c>
      <c r="D275" s="46">
        <v>40</v>
      </c>
      <c r="E275" s="153">
        <v>40</v>
      </c>
      <c r="F275" s="46">
        <v>19920</v>
      </c>
      <c r="G275" s="46">
        <v>19920</v>
      </c>
      <c r="H275" s="72">
        <v>40</v>
      </c>
      <c r="I275" s="126"/>
      <c r="J275" s="12"/>
      <c r="K275" s="13"/>
      <c r="L275" s="5"/>
      <c r="M275" s="5"/>
      <c r="N275" s="5"/>
      <c r="O275" s="5"/>
    </row>
    <row r="276" spans="1:15" s="3" customFormat="1" x14ac:dyDescent="0.2">
      <c r="A276" s="40">
        <v>5512</v>
      </c>
      <c r="B276" s="50">
        <v>5156</v>
      </c>
      <c r="C276" s="290" t="s">
        <v>66</v>
      </c>
      <c r="D276" s="46">
        <v>80</v>
      </c>
      <c r="E276" s="153">
        <v>80</v>
      </c>
      <c r="F276" s="46">
        <v>61460.9</v>
      </c>
      <c r="G276" s="46">
        <v>61460.9</v>
      </c>
      <c r="H276" s="72">
        <v>80</v>
      </c>
      <c r="I276" s="126"/>
      <c r="J276" s="12"/>
      <c r="K276" s="13"/>
      <c r="L276" s="5"/>
      <c r="M276" s="5"/>
      <c r="N276" s="5"/>
      <c r="O276" s="5"/>
    </row>
    <row r="277" spans="1:15" s="3" customFormat="1" x14ac:dyDescent="0.2">
      <c r="A277" s="40">
        <v>5512</v>
      </c>
      <c r="B277" s="50">
        <v>5156</v>
      </c>
      <c r="C277" s="290" t="s">
        <v>113</v>
      </c>
      <c r="D277" s="46">
        <v>0</v>
      </c>
      <c r="E277" s="153">
        <v>30</v>
      </c>
      <c r="F277" s="46">
        <v>25746.49</v>
      </c>
      <c r="G277" s="46">
        <v>25746.49</v>
      </c>
      <c r="H277" s="72">
        <v>0</v>
      </c>
      <c r="I277" s="126"/>
      <c r="J277" s="12"/>
      <c r="K277" s="13"/>
      <c r="L277" s="5"/>
      <c r="M277" s="5"/>
      <c r="N277" s="5"/>
      <c r="O277" s="5"/>
    </row>
    <row r="278" spans="1:15" s="3" customFormat="1" x14ac:dyDescent="0.2">
      <c r="A278" s="40">
        <v>5512</v>
      </c>
      <c r="B278" s="50">
        <v>5162</v>
      </c>
      <c r="C278" s="290" t="s">
        <v>19</v>
      </c>
      <c r="D278" s="46">
        <v>15</v>
      </c>
      <c r="E278" s="153">
        <v>15</v>
      </c>
      <c r="F278" s="46">
        <v>10428.76</v>
      </c>
      <c r="G278" s="46">
        <v>10428.76</v>
      </c>
      <c r="H278" s="72">
        <v>14</v>
      </c>
      <c r="I278" s="126"/>
      <c r="J278" s="12"/>
      <c r="K278" s="13"/>
      <c r="L278" s="5"/>
      <c r="M278" s="5"/>
      <c r="N278" s="5"/>
      <c r="O278" s="5"/>
    </row>
    <row r="279" spans="1:15" s="3" customFormat="1" x14ac:dyDescent="0.2">
      <c r="A279" s="40">
        <v>5512</v>
      </c>
      <c r="B279" s="50">
        <v>5167</v>
      </c>
      <c r="C279" s="290" t="s">
        <v>92</v>
      </c>
      <c r="D279" s="46">
        <v>20</v>
      </c>
      <c r="E279" s="153">
        <v>20</v>
      </c>
      <c r="F279" s="46">
        <v>0</v>
      </c>
      <c r="G279" s="46">
        <v>0</v>
      </c>
      <c r="H279" s="72">
        <v>20</v>
      </c>
      <c r="I279" s="126"/>
      <c r="J279" s="12"/>
      <c r="K279" s="13"/>
      <c r="L279" s="5"/>
      <c r="M279" s="5"/>
      <c r="N279" s="5"/>
      <c r="O279" s="5"/>
    </row>
    <row r="280" spans="1:15" s="3" customFormat="1" x14ac:dyDescent="0.2">
      <c r="A280" s="40">
        <v>5512</v>
      </c>
      <c r="B280" s="50">
        <v>5167</v>
      </c>
      <c r="C280" s="290" t="s">
        <v>148</v>
      </c>
      <c r="D280" s="46">
        <v>0</v>
      </c>
      <c r="E280" s="153">
        <v>0</v>
      </c>
      <c r="F280" s="46">
        <v>0</v>
      </c>
      <c r="G280" s="46">
        <v>0</v>
      </c>
      <c r="H280" s="72">
        <v>0</v>
      </c>
      <c r="I280" s="126"/>
      <c r="J280" s="12"/>
      <c r="K280" s="13"/>
      <c r="L280" s="5"/>
      <c r="M280" s="5"/>
      <c r="N280" s="5"/>
      <c r="O280" s="5"/>
    </row>
    <row r="281" spans="1:15" s="3" customFormat="1" ht="30" x14ac:dyDescent="0.2">
      <c r="A281" s="40">
        <v>5512</v>
      </c>
      <c r="B281" s="50">
        <v>5168</v>
      </c>
      <c r="C281" s="290" t="s">
        <v>162</v>
      </c>
      <c r="D281" s="46">
        <v>5</v>
      </c>
      <c r="E281" s="153">
        <v>5</v>
      </c>
      <c r="F281" s="46">
        <v>4865.18</v>
      </c>
      <c r="G281" s="46">
        <v>4865.18</v>
      </c>
      <c r="H281" s="72">
        <v>6</v>
      </c>
      <c r="I281" s="126"/>
      <c r="J281" s="12"/>
      <c r="K281" s="13"/>
      <c r="L281" s="5"/>
      <c r="M281" s="5"/>
      <c r="N281" s="5"/>
      <c r="O281" s="5"/>
    </row>
    <row r="282" spans="1:15" s="3" customFormat="1" x14ac:dyDescent="0.2">
      <c r="A282" s="40">
        <v>5512</v>
      </c>
      <c r="B282" s="50">
        <v>5169</v>
      </c>
      <c r="C282" s="290" t="s">
        <v>288</v>
      </c>
      <c r="D282" s="46">
        <v>50</v>
      </c>
      <c r="E282" s="153">
        <v>50</v>
      </c>
      <c r="F282" s="46">
        <v>13257</v>
      </c>
      <c r="G282" s="46">
        <v>13257</v>
      </c>
      <c r="H282" s="72">
        <v>50</v>
      </c>
      <c r="I282" s="126"/>
      <c r="J282" s="12"/>
      <c r="K282" s="13"/>
      <c r="L282" s="5"/>
      <c r="M282" s="5"/>
      <c r="N282" s="5"/>
      <c r="O282" s="5"/>
    </row>
    <row r="283" spans="1:15" s="3" customFormat="1" x14ac:dyDescent="0.2">
      <c r="A283" s="40">
        <v>5512</v>
      </c>
      <c r="B283" s="50">
        <v>5169</v>
      </c>
      <c r="C283" s="290" t="s">
        <v>289</v>
      </c>
      <c r="D283" s="46">
        <v>0</v>
      </c>
      <c r="E283" s="153">
        <v>10</v>
      </c>
      <c r="F283" s="46">
        <v>23263.94</v>
      </c>
      <c r="G283" s="46">
        <v>23263.94</v>
      </c>
      <c r="H283" s="72">
        <v>0</v>
      </c>
      <c r="I283" s="126"/>
      <c r="J283" s="12"/>
      <c r="K283" s="13"/>
      <c r="L283" s="5"/>
      <c r="M283" s="5"/>
      <c r="N283" s="5"/>
      <c r="O283" s="5"/>
    </row>
    <row r="284" spans="1:15" s="3" customFormat="1" x14ac:dyDescent="0.2">
      <c r="A284" s="40">
        <v>5512</v>
      </c>
      <c r="B284" s="50">
        <v>5171</v>
      </c>
      <c r="C284" s="290" t="s">
        <v>290</v>
      </c>
      <c r="D284" s="46">
        <v>0</v>
      </c>
      <c r="E284" s="153">
        <v>450</v>
      </c>
      <c r="F284" s="46">
        <v>429530</v>
      </c>
      <c r="G284" s="46">
        <v>429530</v>
      </c>
      <c r="H284" s="72">
        <v>0</v>
      </c>
      <c r="I284" s="126"/>
      <c r="J284" s="12"/>
      <c r="K284" s="13"/>
      <c r="L284" s="5"/>
      <c r="M284" s="5"/>
      <c r="N284" s="5"/>
      <c r="O284" s="5"/>
    </row>
    <row r="285" spans="1:15" s="3" customFormat="1" x14ac:dyDescent="0.2">
      <c r="A285" s="40">
        <v>5512</v>
      </c>
      <c r="B285" s="50">
        <v>5171</v>
      </c>
      <c r="C285" s="290" t="s">
        <v>185</v>
      </c>
      <c r="D285" s="46">
        <v>80</v>
      </c>
      <c r="E285" s="153">
        <v>80</v>
      </c>
      <c r="F285" s="46">
        <v>63259</v>
      </c>
      <c r="G285" s="46">
        <v>63259</v>
      </c>
      <c r="H285" s="72">
        <v>80</v>
      </c>
      <c r="I285" s="126"/>
      <c r="J285" s="12"/>
      <c r="K285" s="13"/>
      <c r="L285" s="5"/>
      <c r="M285" s="5"/>
      <c r="N285" s="5"/>
      <c r="O285" s="5"/>
    </row>
    <row r="286" spans="1:15" s="3" customFormat="1" ht="45" x14ac:dyDescent="0.2">
      <c r="A286" s="40">
        <v>5512</v>
      </c>
      <c r="B286" s="50">
        <v>6121</v>
      </c>
      <c r="C286" s="290" t="s">
        <v>216</v>
      </c>
      <c r="D286" s="46">
        <v>500</v>
      </c>
      <c r="E286" s="153">
        <v>500</v>
      </c>
      <c r="F286" s="46">
        <v>0</v>
      </c>
      <c r="G286" s="46">
        <v>0</v>
      </c>
      <c r="H286" s="72">
        <v>2500</v>
      </c>
      <c r="I286" s="126"/>
      <c r="J286" s="12"/>
      <c r="K286" s="13"/>
      <c r="L286" s="5"/>
      <c r="M286" s="5"/>
      <c r="N286" s="5"/>
      <c r="O286" s="5"/>
    </row>
    <row r="287" spans="1:15" s="3" customFormat="1" ht="45" x14ac:dyDescent="0.2">
      <c r="A287" s="40">
        <v>5512</v>
      </c>
      <c r="B287" s="50">
        <v>6121</v>
      </c>
      <c r="C287" s="290" t="s">
        <v>217</v>
      </c>
      <c r="D287" s="46">
        <v>0</v>
      </c>
      <c r="E287" s="153">
        <v>3000</v>
      </c>
      <c r="F287" s="46">
        <v>130680</v>
      </c>
      <c r="G287" s="46">
        <v>558145.23</v>
      </c>
      <c r="H287" s="72">
        <v>0</v>
      </c>
      <c r="I287" s="126"/>
      <c r="J287" s="12"/>
      <c r="K287" s="13"/>
      <c r="L287" s="5"/>
      <c r="M287" s="5"/>
      <c r="N287" s="5"/>
      <c r="O287" s="5"/>
    </row>
    <row r="288" spans="1:15" s="3" customFormat="1" ht="15.75" x14ac:dyDescent="0.25">
      <c r="A288" s="155">
        <v>5512</v>
      </c>
      <c r="B288" s="185"/>
      <c r="C288" s="166" t="s">
        <v>186</v>
      </c>
      <c r="D288" s="167">
        <f>SUM(D267:D287)</f>
        <v>1065</v>
      </c>
      <c r="E288" s="200">
        <f>SUM(E267:E287)</f>
        <v>4615</v>
      </c>
      <c r="F288" s="199">
        <f>SUM(F267:F287)</f>
        <v>1076066.27</v>
      </c>
      <c r="G288" s="199">
        <f>SUM(G267:G287)</f>
        <v>1503531.5</v>
      </c>
      <c r="H288" s="241">
        <f>SUM(H267:H287)</f>
        <v>3065</v>
      </c>
      <c r="I288" s="116">
        <f>H288</f>
        <v>3065</v>
      </c>
      <c r="J288" s="12"/>
      <c r="K288" s="13"/>
      <c r="L288" s="5"/>
      <c r="M288" s="5"/>
      <c r="N288" s="5"/>
      <c r="O288" s="5"/>
    </row>
    <row r="289" spans="1:15" s="3" customFormat="1" ht="15.75" x14ac:dyDescent="0.25">
      <c r="A289" s="155"/>
      <c r="B289" s="185"/>
      <c r="C289" s="113"/>
      <c r="D289" s="163"/>
      <c r="E289" s="52"/>
      <c r="F289" s="46"/>
      <c r="G289" s="153"/>
      <c r="H289" s="241"/>
      <c r="I289" s="116"/>
      <c r="J289" s="12"/>
      <c r="K289" s="13"/>
      <c r="L289" s="5"/>
      <c r="M289" s="5"/>
      <c r="N289" s="5"/>
      <c r="O289" s="5"/>
    </row>
    <row r="290" spans="1:15" s="3" customFormat="1" x14ac:dyDescent="0.2">
      <c r="A290" s="39">
        <v>6112</v>
      </c>
      <c r="B290" s="62">
        <v>5023</v>
      </c>
      <c r="C290" s="85" t="s">
        <v>115</v>
      </c>
      <c r="D290" s="45">
        <v>1700</v>
      </c>
      <c r="E290" s="223">
        <v>2325.6</v>
      </c>
      <c r="F290" s="45">
        <v>1656816</v>
      </c>
      <c r="G290" s="45">
        <v>2325000</v>
      </c>
      <c r="H290" s="72">
        <v>2595</v>
      </c>
      <c r="I290" s="126"/>
      <c r="J290" s="12"/>
      <c r="K290" s="13"/>
      <c r="L290" s="5"/>
      <c r="M290" s="5"/>
      <c r="N290" s="5"/>
      <c r="O290" s="5"/>
    </row>
    <row r="291" spans="1:15" s="3" customFormat="1" x14ac:dyDescent="0.2">
      <c r="A291" s="40">
        <v>6112</v>
      </c>
      <c r="B291" s="50">
        <v>5024</v>
      </c>
      <c r="C291" s="290" t="s">
        <v>342</v>
      </c>
      <c r="D291" s="46">
        <v>0</v>
      </c>
      <c r="E291" s="153">
        <v>0</v>
      </c>
      <c r="F291" s="46">
        <v>0</v>
      </c>
      <c r="G291" s="46">
        <v>0</v>
      </c>
      <c r="H291" s="72">
        <v>185</v>
      </c>
      <c r="I291" s="126"/>
      <c r="J291" s="13"/>
      <c r="K291" s="13"/>
      <c r="L291" s="5"/>
      <c r="M291" s="5"/>
      <c r="N291" s="5"/>
      <c r="O291" s="5"/>
    </row>
    <row r="292" spans="1:15" x14ac:dyDescent="0.2">
      <c r="A292" s="40">
        <v>6112</v>
      </c>
      <c r="B292" s="50">
        <v>5031</v>
      </c>
      <c r="C292" s="290" t="s">
        <v>48</v>
      </c>
      <c r="D292" s="46">
        <v>297</v>
      </c>
      <c r="E292" s="153">
        <v>452</v>
      </c>
      <c r="F292" s="46">
        <v>385614</v>
      </c>
      <c r="G292" s="46">
        <v>452000</v>
      </c>
      <c r="H292" s="72">
        <v>723</v>
      </c>
      <c r="I292" s="126"/>
    </row>
    <row r="293" spans="1:15" x14ac:dyDescent="0.2">
      <c r="A293" s="40">
        <v>6112</v>
      </c>
      <c r="B293" s="50">
        <v>5032</v>
      </c>
      <c r="C293" s="290" t="s">
        <v>46</v>
      </c>
      <c r="D293" s="46">
        <v>153</v>
      </c>
      <c r="E293" s="153">
        <v>209.4</v>
      </c>
      <c r="F293" s="46">
        <v>149130</v>
      </c>
      <c r="G293" s="46">
        <v>209400</v>
      </c>
      <c r="H293" s="72">
        <v>250</v>
      </c>
      <c r="I293" s="126"/>
    </row>
    <row r="294" spans="1:15" x14ac:dyDescent="0.2">
      <c r="A294" s="40">
        <v>6112</v>
      </c>
      <c r="B294" s="50">
        <v>5156</v>
      </c>
      <c r="C294" s="290" t="s">
        <v>70</v>
      </c>
      <c r="D294" s="46">
        <v>10.5</v>
      </c>
      <c r="E294" s="153">
        <v>10.5</v>
      </c>
      <c r="F294" s="46">
        <v>8454.34</v>
      </c>
      <c r="G294" s="46">
        <v>8454.34</v>
      </c>
      <c r="H294" s="72">
        <v>10.5</v>
      </c>
      <c r="I294" s="126"/>
    </row>
    <row r="295" spans="1:15" x14ac:dyDescent="0.2">
      <c r="A295" s="40">
        <v>6112</v>
      </c>
      <c r="B295" s="50">
        <v>5168</v>
      </c>
      <c r="C295" s="290" t="s">
        <v>126</v>
      </c>
      <c r="D295" s="46">
        <v>50</v>
      </c>
      <c r="E295" s="153">
        <v>50</v>
      </c>
      <c r="F295" s="46">
        <v>24034</v>
      </c>
      <c r="G295" s="46">
        <v>24034</v>
      </c>
      <c r="H295" s="72">
        <v>40</v>
      </c>
      <c r="I295" s="126"/>
    </row>
    <row r="296" spans="1:15" x14ac:dyDescent="0.2">
      <c r="A296" s="40">
        <v>6112</v>
      </c>
      <c r="B296" s="50">
        <v>5169</v>
      </c>
      <c r="C296" s="290" t="s">
        <v>52</v>
      </c>
      <c r="D296" s="46">
        <v>8</v>
      </c>
      <c r="E296" s="153">
        <v>8</v>
      </c>
      <c r="F296" s="46">
        <v>4885</v>
      </c>
      <c r="G296" s="46">
        <v>4885</v>
      </c>
      <c r="H296" s="72">
        <v>8</v>
      </c>
      <c r="I296" s="126"/>
    </row>
    <row r="297" spans="1:15" x14ac:dyDescent="0.2">
      <c r="A297" s="40">
        <v>6112</v>
      </c>
      <c r="B297" s="50">
        <v>5173</v>
      </c>
      <c r="C297" s="290" t="s">
        <v>30</v>
      </c>
      <c r="D297" s="46">
        <v>6</v>
      </c>
      <c r="E297" s="153">
        <v>6</v>
      </c>
      <c r="F297" s="46">
        <v>4272</v>
      </c>
      <c r="G297" s="46">
        <v>4272</v>
      </c>
      <c r="H297" s="72">
        <v>8</v>
      </c>
      <c r="I297" s="126"/>
      <c r="J297" s="244"/>
    </row>
    <row r="298" spans="1:15" x14ac:dyDescent="0.2">
      <c r="A298" s="40">
        <v>6112</v>
      </c>
      <c r="B298" s="50">
        <v>5175</v>
      </c>
      <c r="C298" s="290" t="s">
        <v>21</v>
      </c>
      <c r="D298" s="46">
        <v>19</v>
      </c>
      <c r="E298" s="153">
        <v>19</v>
      </c>
      <c r="F298" s="46">
        <v>10610</v>
      </c>
      <c r="G298" s="46">
        <v>8673</v>
      </c>
      <c r="H298" s="72">
        <v>16</v>
      </c>
      <c r="I298" s="126"/>
    </row>
    <row r="299" spans="1:15" x14ac:dyDescent="0.2">
      <c r="A299" s="40">
        <v>6112</v>
      </c>
      <c r="B299" s="50">
        <v>5176</v>
      </c>
      <c r="C299" s="290" t="s">
        <v>291</v>
      </c>
      <c r="D299" s="46">
        <v>0</v>
      </c>
      <c r="E299" s="153">
        <v>0</v>
      </c>
      <c r="F299" s="46">
        <v>1210</v>
      </c>
      <c r="G299" s="46">
        <v>1210</v>
      </c>
      <c r="H299" s="72">
        <v>0</v>
      </c>
      <c r="I299" s="126"/>
    </row>
    <row r="300" spans="1:15" x14ac:dyDescent="0.2">
      <c r="A300" s="40">
        <v>6112</v>
      </c>
      <c r="B300" s="50">
        <v>5192</v>
      </c>
      <c r="C300" s="290" t="s">
        <v>211</v>
      </c>
      <c r="D300" s="46">
        <v>20</v>
      </c>
      <c r="E300" s="153">
        <v>20</v>
      </c>
      <c r="F300" s="46">
        <v>20000</v>
      </c>
      <c r="G300" s="46">
        <v>20000</v>
      </c>
      <c r="H300" s="72">
        <v>20</v>
      </c>
      <c r="I300" s="126"/>
    </row>
    <row r="301" spans="1:15" x14ac:dyDescent="0.2">
      <c r="A301" s="40">
        <v>6112</v>
      </c>
      <c r="B301" s="50">
        <v>5222</v>
      </c>
      <c r="C301" s="290" t="s">
        <v>209</v>
      </c>
      <c r="D301" s="46">
        <v>30</v>
      </c>
      <c r="E301" s="153">
        <v>0</v>
      </c>
      <c r="F301" s="46">
        <v>0</v>
      </c>
      <c r="G301" s="46">
        <v>0</v>
      </c>
      <c r="H301" s="72">
        <v>30</v>
      </c>
      <c r="I301" s="126"/>
    </row>
    <row r="302" spans="1:15" ht="31.5" x14ac:dyDescent="0.25">
      <c r="A302" s="40">
        <v>6112</v>
      </c>
      <c r="B302" s="50">
        <v>5222</v>
      </c>
      <c r="C302" s="290" t="s">
        <v>292</v>
      </c>
      <c r="D302" s="46">
        <v>0</v>
      </c>
      <c r="E302" s="153">
        <v>20</v>
      </c>
      <c r="F302" s="46">
        <v>20000</v>
      </c>
      <c r="G302" s="46">
        <v>20000</v>
      </c>
      <c r="H302" s="72">
        <v>0</v>
      </c>
      <c r="I302" s="126"/>
    </row>
    <row r="303" spans="1:15" ht="31.5" x14ac:dyDescent="0.25">
      <c r="A303" s="40">
        <v>6112</v>
      </c>
      <c r="B303" s="50">
        <v>5222</v>
      </c>
      <c r="C303" s="290" t="s">
        <v>293</v>
      </c>
      <c r="D303" s="46">
        <v>0</v>
      </c>
      <c r="E303" s="153">
        <v>10</v>
      </c>
      <c r="F303" s="46">
        <v>10000</v>
      </c>
      <c r="G303" s="46">
        <v>10000</v>
      </c>
      <c r="H303" s="72">
        <v>0</v>
      </c>
      <c r="I303" s="126"/>
    </row>
    <row r="304" spans="1:15" x14ac:dyDescent="0.2">
      <c r="A304" s="40">
        <v>6112</v>
      </c>
      <c r="B304" s="50">
        <v>5362</v>
      </c>
      <c r="C304" s="290" t="s">
        <v>187</v>
      </c>
      <c r="D304" s="46">
        <v>1.5</v>
      </c>
      <c r="E304" s="153">
        <v>1.5</v>
      </c>
      <c r="F304" s="46">
        <v>1500</v>
      </c>
      <c r="G304" s="46">
        <v>1500</v>
      </c>
      <c r="H304" s="72">
        <v>1.5</v>
      </c>
      <c r="I304" s="126"/>
    </row>
    <row r="305" spans="1:15" x14ac:dyDescent="0.2">
      <c r="A305" s="40">
        <v>6112</v>
      </c>
      <c r="B305" s="50">
        <v>5424</v>
      </c>
      <c r="C305" s="290" t="s">
        <v>100</v>
      </c>
      <c r="D305" s="46">
        <v>10</v>
      </c>
      <c r="E305" s="153">
        <v>10</v>
      </c>
      <c r="F305" s="46">
        <v>0</v>
      </c>
      <c r="G305" s="46">
        <v>0</v>
      </c>
      <c r="H305" s="72">
        <v>10</v>
      </c>
      <c r="I305" s="126"/>
    </row>
    <row r="306" spans="1:15" ht="30" x14ac:dyDescent="0.2">
      <c r="A306" s="40">
        <v>6112</v>
      </c>
      <c r="B306" s="50">
        <v>5492</v>
      </c>
      <c r="C306" s="290" t="s">
        <v>294</v>
      </c>
      <c r="D306" s="46">
        <v>50</v>
      </c>
      <c r="E306" s="153">
        <v>50</v>
      </c>
      <c r="F306" s="46">
        <v>33000</v>
      </c>
      <c r="G306" s="46">
        <f>33000+10000</f>
        <v>43000</v>
      </c>
      <c r="H306" s="72">
        <v>50</v>
      </c>
      <c r="I306" s="126"/>
    </row>
    <row r="307" spans="1:15" x14ac:dyDescent="0.2">
      <c r="A307" s="40">
        <v>6112</v>
      </c>
      <c r="B307" s="50">
        <v>5499</v>
      </c>
      <c r="C307" s="290" t="s">
        <v>36</v>
      </c>
      <c r="D307" s="46">
        <v>26</v>
      </c>
      <c r="E307" s="153">
        <v>26</v>
      </c>
      <c r="F307" s="46">
        <v>19300</v>
      </c>
      <c r="G307" s="46">
        <f>19300+2600</f>
        <v>21900</v>
      </c>
      <c r="H307" s="72">
        <v>24</v>
      </c>
      <c r="I307" s="126"/>
    </row>
    <row r="308" spans="1:15" ht="15.75" x14ac:dyDescent="0.25">
      <c r="A308" s="158">
        <v>6112</v>
      </c>
      <c r="B308" s="159"/>
      <c r="C308" s="268" t="s">
        <v>37</v>
      </c>
      <c r="D308" s="161">
        <f>SUM(D290:D307)</f>
        <v>2381</v>
      </c>
      <c r="E308" s="168">
        <f>SUM(E290:E307)</f>
        <v>3218</v>
      </c>
      <c r="F308" s="56">
        <f>SUM(F290:F307)</f>
        <v>2348825.34</v>
      </c>
      <c r="G308" s="56">
        <f>SUM(G290:G307)</f>
        <v>3154328.34</v>
      </c>
      <c r="H308" s="57">
        <f>SUM(H290:H307)</f>
        <v>3971</v>
      </c>
      <c r="I308" s="156">
        <f>H308</f>
        <v>3971</v>
      </c>
    </row>
    <row r="309" spans="1:15" ht="15.75" x14ac:dyDescent="0.25">
      <c r="A309" s="158"/>
      <c r="B309" s="171"/>
      <c r="C309" s="53"/>
      <c r="D309" s="161"/>
      <c r="E309" s="168"/>
      <c r="F309" s="56"/>
      <c r="G309" s="301"/>
      <c r="H309" s="228"/>
      <c r="I309" s="156"/>
    </row>
    <row r="310" spans="1:15" ht="15.75" x14ac:dyDescent="0.25">
      <c r="A310" s="174">
        <v>6114</v>
      </c>
      <c r="B310" s="302"/>
      <c r="C310" s="303" t="s">
        <v>295</v>
      </c>
      <c r="D310" s="304">
        <v>0</v>
      </c>
      <c r="E310" s="304">
        <v>197.4</v>
      </c>
      <c r="F310" s="304">
        <f>142557.14+2210</f>
        <v>144767.14000000001</v>
      </c>
      <c r="G310" s="304">
        <f>F310</f>
        <v>144767.14000000001</v>
      </c>
      <c r="H310" s="57">
        <v>0</v>
      </c>
      <c r="I310" s="156">
        <f>H310</f>
        <v>0</v>
      </c>
    </row>
    <row r="311" spans="1:15" ht="15.75" x14ac:dyDescent="0.25">
      <c r="A311" s="158"/>
      <c r="B311" s="171"/>
      <c r="C311" s="53"/>
      <c r="D311" s="161"/>
      <c r="E311" s="161"/>
      <c r="F311" s="161"/>
      <c r="G311" s="301"/>
      <c r="H311" s="228"/>
      <c r="I311" s="156"/>
    </row>
    <row r="312" spans="1:15" ht="15.75" x14ac:dyDescent="0.25">
      <c r="A312" s="174">
        <v>6118</v>
      </c>
      <c r="B312" s="302"/>
      <c r="C312" s="303" t="s">
        <v>296</v>
      </c>
      <c r="D312" s="304">
        <v>0</v>
      </c>
      <c r="E312" s="304">
        <v>17</v>
      </c>
      <c r="F312" s="304">
        <v>10735.4</v>
      </c>
      <c r="G312" s="304">
        <v>17000</v>
      </c>
      <c r="H312" s="57">
        <v>0</v>
      </c>
      <c r="I312" s="156">
        <f>H312</f>
        <v>0</v>
      </c>
    </row>
    <row r="313" spans="1:15" ht="15.75" x14ac:dyDescent="0.25">
      <c r="A313" s="158"/>
      <c r="B313" s="171"/>
      <c r="C313" s="53"/>
      <c r="D313" s="161"/>
      <c r="E313" s="161"/>
      <c r="F313" s="301"/>
      <c r="G313" s="301"/>
      <c r="H313" s="228"/>
      <c r="I313" s="156"/>
    </row>
    <row r="314" spans="1:15" s="3" customFormat="1" x14ac:dyDescent="0.2">
      <c r="A314" s="39">
        <v>6171</v>
      </c>
      <c r="B314" s="62">
        <v>5011</v>
      </c>
      <c r="C314" s="85" t="s">
        <v>22</v>
      </c>
      <c r="D314" s="45">
        <v>5030</v>
      </c>
      <c r="E314" s="223">
        <v>5077.3999999999996</v>
      </c>
      <c r="F314" s="45">
        <v>3976992</v>
      </c>
      <c r="G314" s="45">
        <v>5077000</v>
      </c>
      <c r="H314" s="72">
        <v>5586</v>
      </c>
      <c r="I314" s="126"/>
      <c r="J314" s="12"/>
      <c r="K314" s="13"/>
      <c r="L314" s="5"/>
      <c r="M314" s="5"/>
      <c r="N314" s="5"/>
      <c r="O314" s="5"/>
    </row>
    <row r="315" spans="1:15" s="3" customFormat="1" x14ac:dyDescent="0.2">
      <c r="A315" s="40">
        <v>6171</v>
      </c>
      <c r="B315" s="50">
        <v>5021</v>
      </c>
      <c r="C315" s="290" t="s">
        <v>25</v>
      </c>
      <c r="D315" s="46">
        <v>270</v>
      </c>
      <c r="E315" s="153">
        <v>270</v>
      </c>
      <c r="F315" s="46">
        <f>212140+2670</f>
        <v>214810</v>
      </c>
      <c r="G315" s="46">
        <v>270000</v>
      </c>
      <c r="H315" s="72">
        <f>297+156</f>
        <v>453</v>
      </c>
      <c r="I315" s="126"/>
      <c r="J315" s="12"/>
      <c r="K315" s="13"/>
      <c r="L315" s="5"/>
      <c r="M315" s="5"/>
      <c r="N315" s="5"/>
      <c r="O315" s="5"/>
    </row>
    <row r="316" spans="1:15" s="3" customFormat="1" x14ac:dyDescent="0.2">
      <c r="A316" s="40">
        <v>6171</v>
      </c>
      <c r="B316" s="50">
        <v>5031</v>
      </c>
      <c r="C316" s="290" t="s">
        <v>48</v>
      </c>
      <c r="D316" s="46">
        <v>1325</v>
      </c>
      <c r="E316" s="153">
        <v>1336.8</v>
      </c>
      <c r="F316" s="46">
        <v>1041213</v>
      </c>
      <c r="G316" s="46">
        <v>1336000</v>
      </c>
      <c r="H316" s="72">
        <f>1471+39</f>
        <v>1510</v>
      </c>
      <c r="I316" s="126"/>
      <c r="J316" s="12"/>
      <c r="K316" s="13"/>
      <c r="L316" s="5"/>
      <c r="M316" s="5"/>
      <c r="N316" s="5"/>
      <c r="O316" s="5"/>
    </row>
    <row r="317" spans="1:15" s="3" customFormat="1" x14ac:dyDescent="0.2">
      <c r="A317" s="40">
        <v>6171</v>
      </c>
      <c r="B317" s="50">
        <v>5032</v>
      </c>
      <c r="C317" s="290" t="s">
        <v>46</v>
      </c>
      <c r="D317" s="46">
        <v>463</v>
      </c>
      <c r="E317" s="153">
        <v>467.3</v>
      </c>
      <c r="F317" s="46">
        <v>374848</v>
      </c>
      <c r="G317" s="46">
        <v>467000</v>
      </c>
      <c r="H317" s="72">
        <f>514+14</f>
        <v>528</v>
      </c>
      <c r="I317" s="126"/>
      <c r="J317" s="12"/>
      <c r="K317" s="13"/>
      <c r="L317" s="5"/>
      <c r="M317" s="5"/>
      <c r="N317" s="5"/>
      <c r="O317" s="5"/>
    </row>
    <row r="318" spans="1:15" s="3" customFormat="1" x14ac:dyDescent="0.2">
      <c r="A318" s="40">
        <v>6171</v>
      </c>
      <c r="B318" s="50">
        <v>5038</v>
      </c>
      <c r="C318" s="290" t="s">
        <v>60</v>
      </c>
      <c r="D318" s="46">
        <v>37</v>
      </c>
      <c r="E318" s="153">
        <v>37</v>
      </c>
      <c r="F318" s="46">
        <v>33134</v>
      </c>
      <c r="G318" s="46">
        <v>27000</v>
      </c>
      <c r="H318" s="72">
        <v>41</v>
      </c>
      <c r="I318" s="126"/>
      <c r="J318" s="12"/>
      <c r="K318" s="13"/>
      <c r="L318" s="5"/>
      <c r="M318" s="5"/>
      <c r="N318" s="5"/>
      <c r="O318" s="5"/>
    </row>
    <row r="319" spans="1:15" s="3" customFormat="1" x14ac:dyDescent="0.2">
      <c r="A319" s="40">
        <v>6171</v>
      </c>
      <c r="B319" s="50">
        <v>5134</v>
      </c>
      <c r="C319" s="290" t="s">
        <v>68</v>
      </c>
      <c r="D319" s="46">
        <v>31</v>
      </c>
      <c r="E319" s="153">
        <v>31</v>
      </c>
      <c r="F319" s="46">
        <f>6686+648+2645</f>
        <v>9979</v>
      </c>
      <c r="G319" s="46">
        <f>6686+648+2645</f>
        <v>9979</v>
      </c>
      <c r="H319" s="72">
        <v>31</v>
      </c>
      <c r="I319" s="126"/>
      <c r="J319" s="12"/>
      <c r="K319" s="13"/>
      <c r="L319" s="5"/>
      <c r="M319" s="5"/>
      <c r="N319" s="5"/>
      <c r="O319" s="5"/>
    </row>
    <row r="320" spans="1:15" s="3" customFormat="1" x14ac:dyDescent="0.2">
      <c r="A320" s="40">
        <v>6171</v>
      </c>
      <c r="B320" s="50">
        <v>5136</v>
      </c>
      <c r="C320" s="290" t="s">
        <v>14</v>
      </c>
      <c r="D320" s="46">
        <v>25</v>
      </c>
      <c r="E320" s="153">
        <v>25</v>
      </c>
      <c r="F320" s="46">
        <v>15382</v>
      </c>
      <c r="G320" s="46">
        <v>15382</v>
      </c>
      <c r="H320" s="72">
        <v>25</v>
      </c>
      <c r="I320" s="126"/>
      <c r="J320" s="12"/>
      <c r="K320" s="13"/>
      <c r="L320" s="5"/>
      <c r="M320" s="5"/>
      <c r="N320" s="5"/>
      <c r="O320" s="5"/>
    </row>
    <row r="321" spans="1:15" s="3" customFormat="1" x14ac:dyDescent="0.2">
      <c r="A321" s="40">
        <v>6171</v>
      </c>
      <c r="B321" s="50">
        <v>5137</v>
      </c>
      <c r="C321" s="290" t="s">
        <v>50</v>
      </c>
      <c r="D321" s="46">
        <v>70</v>
      </c>
      <c r="E321" s="153">
        <v>70</v>
      </c>
      <c r="F321" s="46">
        <f>47543+3142</f>
        <v>50685</v>
      </c>
      <c r="G321" s="46">
        <v>70000</v>
      </c>
      <c r="H321" s="72">
        <v>70</v>
      </c>
      <c r="I321" s="126"/>
      <c r="J321" s="12"/>
      <c r="K321" s="13"/>
      <c r="L321" s="5"/>
      <c r="M321" s="5"/>
      <c r="N321" s="5"/>
      <c r="O321" s="5"/>
    </row>
    <row r="322" spans="1:15" s="3" customFormat="1" x14ac:dyDescent="0.2">
      <c r="A322" s="40">
        <v>6171</v>
      </c>
      <c r="B322" s="50">
        <v>5139</v>
      </c>
      <c r="C322" s="290" t="s">
        <v>8</v>
      </c>
      <c r="D322" s="46">
        <v>130</v>
      </c>
      <c r="E322" s="153">
        <v>130</v>
      </c>
      <c r="F322" s="46">
        <v>91861.51</v>
      </c>
      <c r="G322" s="46">
        <v>110000</v>
      </c>
      <c r="H322" s="72">
        <v>130</v>
      </c>
      <c r="I322" s="126"/>
      <c r="J322" s="12"/>
      <c r="K322" s="13"/>
      <c r="L322" s="5"/>
      <c r="M322" s="5"/>
      <c r="N322" s="5"/>
      <c r="O322" s="5"/>
    </row>
    <row r="323" spans="1:15" s="3" customFormat="1" x14ac:dyDescent="0.2">
      <c r="A323" s="40">
        <v>6171</v>
      </c>
      <c r="B323" s="50">
        <v>5151</v>
      </c>
      <c r="C323" s="290" t="s">
        <v>15</v>
      </c>
      <c r="D323" s="46">
        <v>45</v>
      </c>
      <c r="E323" s="153">
        <v>45</v>
      </c>
      <c r="F323" s="46">
        <v>35397</v>
      </c>
      <c r="G323" s="46">
        <v>35397</v>
      </c>
      <c r="H323" s="72">
        <v>45</v>
      </c>
      <c r="I323" s="126"/>
      <c r="J323" s="12"/>
      <c r="K323" s="13"/>
      <c r="L323" s="5"/>
      <c r="M323" s="5"/>
      <c r="N323" s="5"/>
      <c r="O323" s="5"/>
    </row>
    <row r="324" spans="1:15" s="3" customFormat="1" x14ac:dyDescent="0.2">
      <c r="A324" s="40">
        <v>6171</v>
      </c>
      <c r="B324" s="50">
        <v>5153</v>
      </c>
      <c r="C324" s="290" t="s">
        <v>16</v>
      </c>
      <c r="D324" s="46">
        <v>260</v>
      </c>
      <c r="E324" s="153">
        <v>260</v>
      </c>
      <c r="F324" s="46">
        <v>201800</v>
      </c>
      <c r="G324" s="46">
        <f>201800+5000</f>
        <v>206800</v>
      </c>
      <c r="H324" s="74">
        <v>260</v>
      </c>
      <c r="I324" s="154"/>
      <c r="J324" s="12"/>
      <c r="K324" s="13"/>
      <c r="L324" s="5"/>
      <c r="M324" s="5"/>
      <c r="N324" s="5"/>
      <c r="O324" s="5"/>
    </row>
    <row r="325" spans="1:15" x14ac:dyDescent="0.2">
      <c r="A325" s="40">
        <v>6171</v>
      </c>
      <c r="B325" s="50">
        <v>5154</v>
      </c>
      <c r="C325" s="290" t="s">
        <v>17</v>
      </c>
      <c r="D325" s="46">
        <v>170</v>
      </c>
      <c r="E325" s="153">
        <v>170</v>
      </c>
      <c r="F325" s="46">
        <v>93510</v>
      </c>
      <c r="G325" s="46">
        <f>93510+30900+1000</f>
        <v>125410</v>
      </c>
      <c r="H325" s="72">
        <v>160</v>
      </c>
      <c r="I325" s="126"/>
    </row>
    <row r="326" spans="1:15" x14ac:dyDescent="0.2">
      <c r="A326" s="40">
        <v>6171</v>
      </c>
      <c r="B326" s="50">
        <v>5156</v>
      </c>
      <c r="C326" s="290" t="s">
        <v>29</v>
      </c>
      <c r="D326" s="46">
        <v>10</v>
      </c>
      <c r="E326" s="153">
        <v>10</v>
      </c>
      <c r="F326" s="46">
        <v>6217.02</v>
      </c>
      <c r="G326" s="46">
        <v>6217.02</v>
      </c>
      <c r="H326" s="72">
        <v>10</v>
      </c>
      <c r="I326" s="126"/>
    </row>
    <row r="327" spans="1:15" x14ac:dyDescent="0.2">
      <c r="A327" s="40">
        <v>6171</v>
      </c>
      <c r="B327" s="50">
        <v>5161</v>
      </c>
      <c r="C327" s="290" t="s">
        <v>106</v>
      </c>
      <c r="D327" s="46">
        <v>70</v>
      </c>
      <c r="E327" s="153">
        <v>70</v>
      </c>
      <c r="F327" s="46">
        <f>48886+1239+1966</f>
        <v>52091</v>
      </c>
      <c r="G327" s="46">
        <f>48886+1239+1966</f>
        <v>52091</v>
      </c>
      <c r="H327" s="72">
        <v>70</v>
      </c>
      <c r="I327" s="126"/>
      <c r="N327"/>
      <c r="O327"/>
    </row>
    <row r="328" spans="1:15" x14ac:dyDescent="0.2">
      <c r="A328" s="40">
        <v>6171</v>
      </c>
      <c r="B328" s="50">
        <v>5162</v>
      </c>
      <c r="C328" s="290" t="s">
        <v>19</v>
      </c>
      <c r="D328" s="46">
        <v>220</v>
      </c>
      <c r="E328" s="153">
        <v>220</v>
      </c>
      <c r="F328" s="46">
        <v>177686.52</v>
      </c>
      <c r="G328" s="46">
        <v>177686.52</v>
      </c>
      <c r="H328" s="72">
        <v>220</v>
      </c>
      <c r="I328" s="126"/>
      <c r="N328"/>
      <c r="O328"/>
    </row>
    <row r="329" spans="1:15" x14ac:dyDescent="0.2">
      <c r="A329" s="40">
        <v>6171</v>
      </c>
      <c r="B329" s="50">
        <v>5164</v>
      </c>
      <c r="C329" s="290" t="s">
        <v>61</v>
      </c>
      <c r="D329" s="46">
        <v>0.1</v>
      </c>
      <c r="E329" s="153">
        <v>0.1</v>
      </c>
      <c r="F329" s="46">
        <v>1</v>
      </c>
      <c r="G329" s="46">
        <v>1</v>
      </c>
      <c r="H329" s="72">
        <v>0.1</v>
      </c>
      <c r="I329" s="126"/>
      <c r="N329"/>
      <c r="O329"/>
    </row>
    <row r="330" spans="1:15" x14ac:dyDescent="0.2">
      <c r="A330" s="40">
        <v>6171</v>
      </c>
      <c r="B330" s="50">
        <v>5166</v>
      </c>
      <c r="C330" s="290" t="s">
        <v>31</v>
      </c>
      <c r="D330" s="46">
        <v>550</v>
      </c>
      <c r="E330" s="153">
        <v>550</v>
      </c>
      <c r="F330" s="46">
        <v>441650</v>
      </c>
      <c r="G330" s="46">
        <f>441650+24200+18150</f>
        <v>484000</v>
      </c>
      <c r="H330" s="72">
        <v>550</v>
      </c>
      <c r="I330" s="126"/>
      <c r="N330"/>
      <c r="O330"/>
    </row>
    <row r="331" spans="1:15" ht="12.75" customHeight="1" x14ac:dyDescent="0.2">
      <c r="A331" s="40">
        <v>6171</v>
      </c>
      <c r="B331" s="50">
        <v>5167</v>
      </c>
      <c r="C331" s="290" t="s">
        <v>81</v>
      </c>
      <c r="D331" s="46">
        <v>55</v>
      </c>
      <c r="E331" s="153">
        <v>55</v>
      </c>
      <c r="F331" s="46">
        <v>38527</v>
      </c>
      <c r="G331" s="46">
        <v>38527</v>
      </c>
      <c r="H331" s="72">
        <v>55</v>
      </c>
      <c r="I331" s="126"/>
    </row>
    <row r="332" spans="1:15" ht="12.75" customHeight="1" x14ac:dyDescent="0.2">
      <c r="A332" s="40">
        <v>6171</v>
      </c>
      <c r="B332" s="50">
        <v>5167</v>
      </c>
      <c r="C332" s="290" t="s">
        <v>297</v>
      </c>
      <c r="D332" s="46">
        <v>0</v>
      </c>
      <c r="E332" s="153">
        <v>24.1</v>
      </c>
      <c r="F332" s="46">
        <v>17040</v>
      </c>
      <c r="G332" s="46">
        <v>17040</v>
      </c>
      <c r="H332" s="72">
        <v>0</v>
      </c>
      <c r="I332" s="126"/>
    </row>
    <row r="333" spans="1:15" s="2" customFormat="1" ht="12.75" customHeight="1" x14ac:dyDescent="0.2">
      <c r="A333" s="40">
        <v>6171</v>
      </c>
      <c r="B333" s="50">
        <v>5168</v>
      </c>
      <c r="C333" s="290" t="s">
        <v>126</v>
      </c>
      <c r="D333" s="46">
        <v>399</v>
      </c>
      <c r="E333" s="153">
        <v>399</v>
      </c>
      <c r="F333" s="46">
        <v>276486.8</v>
      </c>
      <c r="G333" s="46">
        <v>276486.8</v>
      </c>
      <c r="H333" s="72">
        <v>420</v>
      </c>
      <c r="I333" s="126"/>
      <c r="J333" s="12"/>
      <c r="K333" s="13"/>
    </row>
    <row r="334" spans="1:15" s="2" customFormat="1" x14ac:dyDescent="0.2">
      <c r="A334" s="40">
        <v>6171</v>
      </c>
      <c r="B334" s="50">
        <v>5169</v>
      </c>
      <c r="C334" s="290" t="s">
        <v>188</v>
      </c>
      <c r="D334" s="46">
        <v>600</v>
      </c>
      <c r="E334" s="153">
        <v>600</v>
      </c>
      <c r="F334" s="46">
        <v>628398.23</v>
      </c>
      <c r="G334" s="46">
        <v>635958.23</v>
      </c>
      <c r="H334" s="72">
        <v>700</v>
      </c>
      <c r="I334" s="126"/>
      <c r="J334" s="12"/>
      <c r="K334" s="13"/>
      <c r="L334" s="239"/>
      <c r="M334" s="9"/>
    </row>
    <row r="335" spans="1:15" x14ac:dyDescent="0.2">
      <c r="A335" s="40">
        <v>6171</v>
      </c>
      <c r="B335" s="50">
        <v>5169</v>
      </c>
      <c r="C335" s="290" t="s">
        <v>103</v>
      </c>
      <c r="D335" s="46">
        <v>86</v>
      </c>
      <c r="E335" s="153">
        <v>75</v>
      </c>
      <c r="F335" s="46">
        <v>51056</v>
      </c>
      <c r="G335" s="46">
        <v>51056</v>
      </c>
      <c r="H335" s="72">
        <v>90</v>
      </c>
      <c r="I335" s="126"/>
      <c r="L335" s="239"/>
      <c r="M335" s="9"/>
    </row>
    <row r="336" spans="1:15" ht="30" x14ac:dyDescent="0.2">
      <c r="A336" s="40">
        <v>6171</v>
      </c>
      <c r="B336" s="50">
        <v>5171</v>
      </c>
      <c r="C336" s="290" t="s">
        <v>318</v>
      </c>
      <c r="D336" s="46">
        <v>100</v>
      </c>
      <c r="E336" s="153">
        <v>100</v>
      </c>
      <c r="F336" s="46">
        <v>31396</v>
      </c>
      <c r="G336" s="46">
        <v>31396</v>
      </c>
      <c r="H336" s="72">
        <v>100</v>
      </c>
      <c r="I336" s="126"/>
    </row>
    <row r="337" spans="1:15" x14ac:dyDescent="0.2">
      <c r="A337" s="40">
        <v>6171</v>
      </c>
      <c r="B337" s="50">
        <v>5172</v>
      </c>
      <c r="C337" s="290" t="s">
        <v>298</v>
      </c>
      <c r="D337" s="46">
        <v>0</v>
      </c>
      <c r="E337" s="153">
        <v>0</v>
      </c>
      <c r="F337" s="46">
        <v>22688</v>
      </c>
      <c r="G337" s="46">
        <v>22688</v>
      </c>
      <c r="H337" s="72">
        <v>30</v>
      </c>
      <c r="I337" s="126"/>
      <c r="L337" s="240"/>
    </row>
    <row r="338" spans="1:15" x14ac:dyDescent="0.2">
      <c r="A338" s="40">
        <v>6171</v>
      </c>
      <c r="B338" s="50">
        <v>5173</v>
      </c>
      <c r="C338" s="290" t="s">
        <v>30</v>
      </c>
      <c r="D338" s="46">
        <v>5.9</v>
      </c>
      <c r="E338" s="153">
        <v>5.9</v>
      </c>
      <c r="F338" s="46">
        <v>1653</v>
      </c>
      <c r="G338" s="46">
        <v>1653</v>
      </c>
      <c r="H338" s="72">
        <v>5.9</v>
      </c>
      <c r="I338" s="126"/>
      <c r="L338" s="240"/>
    </row>
    <row r="339" spans="1:15" x14ac:dyDescent="0.2">
      <c r="A339" s="40">
        <v>6171</v>
      </c>
      <c r="B339" s="50">
        <v>5175</v>
      </c>
      <c r="C339" s="290" t="s">
        <v>21</v>
      </c>
      <c r="D339" s="46">
        <v>4</v>
      </c>
      <c r="E339" s="153">
        <v>4</v>
      </c>
      <c r="F339" s="46">
        <v>0</v>
      </c>
      <c r="G339" s="46">
        <v>0</v>
      </c>
      <c r="H339" s="72">
        <v>4</v>
      </c>
      <c r="I339" s="126"/>
      <c r="L339" s="240"/>
    </row>
    <row r="340" spans="1:15" x14ac:dyDescent="0.2">
      <c r="A340" s="40">
        <v>6171</v>
      </c>
      <c r="B340" s="50">
        <v>5182</v>
      </c>
      <c r="C340" s="290" t="s">
        <v>189</v>
      </c>
      <c r="D340" s="46">
        <v>0</v>
      </c>
      <c r="E340" s="153">
        <v>0</v>
      </c>
      <c r="F340" s="46">
        <v>6657</v>
      </c>
      <c r="G340" s="46">
        <v>0</v>
      </c>
      <c r="H340" s="72">
        <v>0</v>
      </c>
      <c r="I340" s="126"/>
      <c r="L340" s="240"/>
    </row>
    <row r="341" spans="1:15" ht="30" x14ac:dyDescent="0.2">
      <c r="A341" s="40">
        <v>6171</v>
      </c>
      <c r="B341" s="50">
        <v>5192</v>
      </c>
      <c r="C341" s="290" t="s">
        <v>319</v>
      </c>
      <c r="D341" s="46">
        <v>15</v>
      </c>
      <c r="E341" s="153">
        <v>15</v>
      </c>
      <c r="F341" s="46">
        <v>478</v>
      </c>
      <c r="G341" s="46">
        <v>478</v>
      </c>
      <c r="H341" s="72">
        <v>15</v>
      </c>
      <c r="I341" s="126"/>
      <c r="L341" s="240"/>
    </row>
    <row r="342" spans="1:15" x14ac:dyDescent="0.2">
      <c r="A342" s="40">
        <v>6171</v>
      </c>
      <c r="B342" s="50">
        <v>5362</v>
      </c>
      <c r="C342" s="290" t="s">
        <v>62</v>
      </c>
      <c r="D342" s="46">
        <v>5</v>
      </c>
      <c r="E342" s="153">
        <v>5</v>
      </c>
      <c r="F342" s="46">
        <v>2000</v>
      </c>
      <c r="G342" s="46">
        <v>500</v>
      </c>
      <c r="H342" s="72">
        <v>5</v>
      </c>
      <c r="I342" s="126"/>
      <c r="L342" s="240"/>
    </row>
    <row r="343" spans="1:15" ht="30" x14ac:dyDescent="0.2">
      <c r="A343" s="40">
        <v>6171</v>
      </c>
      <c r="B343" s="50">
        <v>5365</v>
      </c>
      <c r="C343" s="290" t="s">
        <v>149</v>
      </c>
      <c r="D343" s="46">
        <v>5</v>
      </c>
      <c r="E343" s="153">
        <v>5</v>
      </c>
      <c r="F343" s="46">
        <v>2833.93</v>
      </c>
      <c r="G343" s="46">
        <v>2833.93</v>
      </c>
      <c r="H343" s="72">
        <v>5</v>
      </c>
      <c r="I343" s="126"/>
      <c r="L343" s="240"/>
    </row>
    <row r="344" spans="1:15" x14ac:dyDescent="0.2">
      <c r="A344" s="40">
        <v>6171</v>
      </c>
      <c r="B344" s="50">
        <v>5424</v>
      </c>
      <c r="C344" s="290" t="s">
        <v>78</v>
      </c>
      <c r="D344" s="46">
        <v>20</v>
      </c>
      <c r="E344" s="153">
        <v>20</v>
      </c>
      <c r="F344" s="46">
        <v>8986</v>
      </c>
      <c r="G344" s="46">
        <v>8986</v>
      </c>
      <c r="H344" s="72">
        <v>20</v>
      </c>
      <c r="I344" s="126"/>
      <c r="L344" s="240"/>
    </row>
    <row r="345" spans="1:15" x14ac:dyDescent="0.2">
      <c r="A345" s="40">
        <v>6171</v>
      </c>
      <c r="B345" s="50">
        <v>5492</v>
      </c>
      <c r="C345" s="290" t="s">
        <v>58</v>
      </c>
      <c r="D345" s="46">
        <v>20</v>
      </c>
      <c r="E345" s="153">
        <v>20</v>
      </c>
      <c r="F345" s="46">
        <v>10000</v>
      </c>
      <c r="G345" s="46">
        <v>20000</v>
      </c>
      <c r="H345" s="72">
        <v>20</v>
      </c>
      <c r="I345" s="126"/>
      <c r="L345" s="240"/>
    </row>
    <row r="346" spans="1:15" x14ac:dyDescent="0.2">
      <c r="A346" s="40">
        <v>6171</v>
      </c>
      <c r="B346" s="50">
        <v>5499</v>
      </c>
      <c r="C346" s="290" t="s">
        <v>36</v>
      </c>
      <c r="D346" s="46">
        <v>235</v>
      </c>
      <c r="E346" s="153">
        <v>246</v>
      </c>
      <c r="F346" s="52">
        <v>164230</v>
      </c>
      <c r="G346" s="52">
        <v>164230</v>
      </c>
      <c r="H346" s="72">
        <v>251</v>
      </c>
      <c r="I346" s="126"/>
    </row>
    <row r="347" spans="1:15" ht="15.75" x14ac:dyDescent="0.25">
      <c r="A347" s="158">
        <v>6171</v>
      </c>
      <c r="B347" s="159"/>
      <c r="C347" s="106" t="s">
        <v>33</v>
      </c>
      <c r="D347" s="168">
        <f>SUM(D314:D346)</f>
        <v>10256</v>
      </c>
      <c r="E347" s="168">
        <f>SUM(E314:E346)</f>
        <v>10343.6</v>
      </c>
      <c r="F347" s="168">
        <f>SUM(F314:F346)</f>
        <v>8079687.0099999979</v>
      </c>
      <c r="G347" s="168">
        <f>SUM(G314:G346)</f>
        <v>9741796.5</v>
      </c>
      <c r="H347" s="57">
        <f>SUM(H314:H346)</f>
        <v>11410</v>
      </c>
      <c r="I347" s="156">
        <f>H347</f>
        <v>11410</v>
      </c>
    </row>
    <row r="348" spans="1:15" ht="15.75" x14ac:dyDescent="0.25">
      <c r="A348" s="158"/>
      <c r="B348" s="159"/>
      <c r="C348" s="106"/>
      <c r="D348" s="168"/>
      <c r="E348" s="168"/>
      <c r="F348" s="56"/>
      <c r="G348" s="156"/>
      <c r="H348" s="228"/>
      <c r="I348" s="156"/>
    </row>
    <row r="349" spans="1:15" s="10" customFormat="1" x14ac:dyDescent="0.2">
      <c r="A349" s="39">
        <v>6310</v>
      </c>
      <c r="B349" s="48">
        <v>5163</v>
      </c>
      <c r="C349" s="186" t="s">
        <v>20</v>
      </c>
      <c r="D349" s="51">
        <v>23</v>
      </c>
      <c r="E349" s="45">
        <v>23</v>
      </c>
      <c r="F349" s="51">
        <v>9266</v>
      </c>
      <c r="G349" s="126">
        <v>11000</v>
      </c>
      <c r="H349" s="72">
        <v>17</v>
      </c>
      <c r="I349" s="126"/>
      <c r="J349" s="12"/>
      <c r="K349" s="13"/>
      <c r="L349" s="8"/>
      <c r="M349" s="8"/>
      <c r="N349" s="8"/>
      <c r="O349" s="8"/>
    </row>
    <row r="350" spans="1:15" ht="15.75" x14ac:dyDescent="0.25">
      <c r="A350" s="158">
        <v>6310</v>
      </c>
      <c r="B350" s="159"/>
      <c r="C350" s="106" t="s">
        <v>72</v>
      </c>
      <c r="D350" s="168">
        <f>SUM(D349)</f>
        <v>23</v>
      </c>
      <c r="E350" s="157">
        <f>SUM(E349)</f>
        <v>23</v>
      </c>
      <c r="F350" s="56">
        <f>SUM(F349)</f>
        <v>9266</v>
      </c>
      <c r="G350" s="56">
        <f>SUM(G349)</f>
        <v>11000</v>
      </c>
      <c r="H350" s="57">
        <f>SUM(H349)</f>
        <v>17</v>
      </c>
      <c r="I350" s="156">
        <f>H350</f>
        <v>17</v>
      </c>
    </row>
    <row r="351" spans="1:15" ht="15.75" x14ac:dyDescent="0.25">
      <c r="A351" s="158"/>
      <c r="B351" s="159"/>
      <c r="C351" s="106"/>
      <c r="D351" s="168"/>
      <c r="E351" s="157"/>
      <c r="F351" s="56"/>
      <c r="G351" s="156"/>
      <c r="H351" s="228"/>
      <c r="I351" s="156"/>
    </row>
    <row r="352" spans="1:15" x14ac:dyDescent="0.2">
      <c r="A352" s="39">
        <v>6320</v>
      </c>
      <c r="B352" s="48">
        <v>5163</v>
      </c>
      <c r="C352" s="85" t="s">
        <v>71</v>
      </c>
      <c r="D352" s="51">
        <v>330</v>
      </c>
      <c r="E352" s="45">
        <v>330</v>
      </c>
      <c r="F352" s="51">
        <v>287187</v>
      </c>
      <c r="G352" s="51">
        <v>287187</v>
      </c>
      <c r="H352" s="72">
        <v>330</v>
      </c>
      <c r="I352" s="126"/>
    </row>
    <row r="353" spans="1:13" ht="15.75" x14ac:dyDescent="0.25">
      <c r="A353" s="158">
        <v>6320</v>
      </c>
      <c r="B353" s="159"/>
      <c r="C353" s="160" t="s">
        <v>34</v>
      </c>
      <c r="D353" s="168">
        <f>SUM(D352)</f>
        <v>330</v>
      </c>
      <c r="E353" s="157">
        <f>SUM(E352)</f>
        <v>330</v>
      </c>
      <c r="F353" s="56">
        <f>SUM(F352)</f>
        <v>287187</v>
      </c>
      <c r="G353" s="56">
        <f>SUM(G352)</f>
        <v>287187</v>
      </c>
      <c r="H353" s="57">
        <f>SUM(H352)</f>
        <v>330</v>
      </c>
      <c r="I353" s="156">
        <f>H353</f>
        <v>330</v>
      </c>
    </row>
    <row r="354" spans="1:13" ht="15.75" x14ac:dyDescent="0.25">
      <c r="A354" s="169"/>
      <c r="B354" s="159"/>
      <c r="C354" s="106"/>
      <c r="D354" s="168"/>
      <c r="E354" s="45"/>
      <c r="F354" s="51"/>
      <c r="G354" s="126"/>
      <c r="H354" s="133"/>
      <c r="I354" s="126"/>
    </row>
    <row r="355" spans="1:13" s="8" customFormat="1" x14ac:dyDescent="0.2">
      <c r="A355" s="169">
        <v>6409</v>
      </c>
      <c r="B355" s="182">
        <v>5901</v>
      </c>
      <c r="C355" s="183" t="s">
        <v>53</v>
      </c>
      <c r="D355" s="184">
        <v>348</v>
      </c>
      <c r="E355" s="45">
        <f>24192.6+10</f>
        <v>24202.6</v>
      </c>
      <c r="F355" s="51">
        <v>0</v>
      </c>
      <c r="G355" s="126"/>
      <c r="H355" s="72">
        <v>500</v>
      </c>
      <c r="I355" s="126"/>
      <c r="J355" s="12"/>
      <c r="K355" s="13"/>
      <c r="L355" s="2"/>
      <c r="M355" s="2"/>
    </row>
    <row r="356" spans="1:13" s="8" customFormat="1" ht="15.75" x14ac:dyDescent="0.25">
      <c r="A356" s="158">
        <v>6409</v>
      </c>
      <c r="B356" s="159"/>
      <c r="C356" s="160" t="s">
        <v>54</v>
      </c>
      <c r="D356" s="168">
        <f>SUM(D355:D355)</f>
        <v>348</v>
      </c>
      <c r="E356" s="168">
        <f>SUM(E355:E355)</f>
        <v>24202.6</v>
      </c>
      <c r="F356" s="168">
        <f>SUM(F355:F355)</f>
        <v>0</v>
      </c>
      <c r="G356" s="168">
        <f>SUM(G355:G355)</f>
        <v>0</v>
      </c>
      <c r="H356" s="241">
        <f>SUM(H355:H355)</f>
        <v>500</v>
      </c>
      <c r="I356" s="156">
        <f>H356</f>
        <v>500</v>
      </c>
      <c r="J356" s="12"/>
      <c r="K356" s="13"/>
      <c r="L356" s="2"/>
      <c r="M356" s="2"/>
    </row>
    <row r="357" spans="1:13" s="8" customFormat="1" ht="15.75" x14ac:dyDescent="0.25">
      <c r="A357" s="169"/>
      <c r="B357" s="159"/>
      <c r="C357" s="106"/>
      <c r="D357" s="168"/>
      <c r="E357" s="45"/>
      <c r="F357" s="51"/>
      <c r="G357" s="126"/>
      <c r="H357" s="133"/>
      <c r="I357" s="126"/>
      <c r="J357" s="12"/>
      <c r="K357" s="13"/>
      <c r="L357" s="2"/>
      <c r="M357" s="2"/>
    </row>
    <row r="358" spans="1:13" s="8" customFormat="1" x14ac:dyDescent="0.2">
      <c r="A358" s="39">
        <v>6330</v>
      </c>
      <c r="B358" s="62">
        <v>5342</v>
      </c>
      <c r="C358" s="42" t="s">
        <v>59</v>
      </c>
      <c r="D358" s="45">
        <f>'Rozpočet 2018 příjmy '!D38</f>
        <v>225</v>
      </c>
      <c r="E358" s="45">
        <f>'Rozpočet 2018 příjmy '!E38</f>
        <v>244</v>
      </c>
      <c r="F358" s="45">
        <f>'Rozpočet 2018 příjmy '!F38</f>
        <v>191075</v>
      </c>
      <c r="G358" s="51">
        <f>'Rozpočet 2018 příjmy '!G38</f>
        <v>264075</v>
      </c>
      <c r="H358" s="72">
        <f>'Rozpočet 2018 příjmy '!H38</f>
        <v>300</v>
      </c>
      <c r="I358" s="126"/>
      <c r="J358" s="12"/>
      <c r="K358" s="13"/>
      <c r="L358" s="2"/>
      <c r="M358" s="2"/>
    </row>
    <row r="359" spans="1:13" s="8" customFormat="1" x14ac:dyDescent="0.2">
      <c r="A359" s="40">
        <v>6330</v>
      </c>
      <c r="B359" s="50">
        <v>5345</v>
      </c>
      <c r="C359" s="43" t="s">
        <v>150</v>
      </c>
      <c r="D359" s="45">
        <f>'Rozpočet 2018 příjmy '!D40</f>
        <v>326</v>
      </c>
      <c r="E359" s="45">
        <f>'Rozpočet 2018 příjmy '!E40</f>
        <v>326</v>
      </c>
      <c r="F359" s="45">
        <f>'Rozpočet 2018 příjmy '!F40</f>
        <v>215456</v>
      </c>
      <c r="G359" s="51">
        <f>'Rozpočet 2018 příjmy '!G40</f>
        <v>263956</v>
      </c>
      <c r="H359" s="72">
        <f>'Rozpočet 2018 příjmy '!H40</f>
        <v>365</v>
      </c>
      <c r="I359" s="126"/>
      <c r="J359" s="12"/>
      <c r="K359" s="13"/>
      <c r="L359" s="2"/>
      <c r="M359" s="2"/>
    </row>
    <row r="360" spans="1:13" s="8" customFormat="1" x14ac:dyDescent="0.2">
      <c r="A360" s="40"/>
      <c r="B360" s="50"/>
      <c r="C360" s="43" t="s">
        <v>151</v>
      </c>
      <c r="D360" s="45">
        <f>'Rozpočet 2018 příjmy '!D36</f>
        <v>580</v>
      </c>
      <c r="E360" s="45">
        <f>'Rozpočet 2018 příjmy '!E36</f>
        <v>580</v>
      </c>
      <c r="F360" s="45">
        <f>'Rozpočet 2018 příjmy '!F36</f>
        <v>0</v>
      </c>
      <c r="G360" s="51">
        <f>'Rozpočet 2018 příjmy '!G36</f>
        <v>0</v>
      </c>
      <c r="H360" s="72">
        <f>'Rozpočet 2018 příjmy '!H36</f>
        <v>582</v>
      </c>
      <c r="I360" s="126"/>
      <c r="J360" s="12"/>
      <c r="K360" s="13"/>
      <c r="L360" s="2"/>
      <c r="M360" s="2"/>
    </row>
    <row r="361" spans="1:13" s="8" customFormat="1" ht="30" x14ac:dyDescent="0.2">
      <c r="A361" s="40">
        <v>6330</v>
      </c>
      <c r="B361" s="50">
        <v>5347</v>
      </c>
      <c r="C361" s="43" t="s">
        <v>299</v>
      </c>
      <c r="D361" s="45">
        <v>0</v>
      </c>
      <c r="E361" s="52">
        <v>0.4</v>
      </c>
      <c r="F361" s="52">
        <v>450</v>
      </c>
      <c r="G361" s="126">
        <v>450</v>
      </c>
      <c r="H361" s="72">
        <v>0</v>
      </c>
      <c r="I361" s="126"/>
      <c r="J361" s="12"/>
      <c r="K361" s="13"/>
      <c r="L361" s="2"/>
      <c r="M361" s="2"/>
    </row>
    <row r="362" spans="1:13" s="8" customFormat="1" x14ac:dyDescent="0.2">
      <c r="A362" s="40">
        <v>6330</v>
      </c>
      <c r="B362" s="50">
        <v>5349</v>
      </c>
      <c r="C362" s="269" t="s">
        <v>96</v>
      </c>
      <c r="D362" s="45">
        <v>0</v>
      </c>
      <c r="E362" s="52">
        <v>1300</v>
      </c>
      <c r="F362" s="46">
        <v>1300000</v>
      </c>
      <c r="G362" s="153">
        <v>1300000</v>
      </c>
      <c r="H362" s="72">
        <v>0</v>
      </c>
      <c r="I362" s="126"/>
      <c r="J362" s="12"/>
      <c r="K362" s="13"/>
      <c r="L362" s="2"/>
      <c r="M362" s="2"/>
    </row>
    <row r="363" spans="1:13" s="8" customFormat="1" ht="15.75" x14ac:dyDescent="0.25">
      <c r="A363" s="158">
        <v>6330</v>
      </c>
      <c r="B363" s="159"/>
      <c r="C363" s="160" t="s">
        <v>38</v>
      </c>
      <c r="D363" s="168">
        <f>SUM(D358:D362)</f>
        <v>1131</v>
      </c>
      <c r="E363" s="168">
        <f>SUM(E358:E362)</f>
        <v>2450.4</v>
      </c>
      <c r="F363" s="56">
        <f>SUM(F358:F362)</f>
        <v>1706981</v>
      </c>
      <c r="G363" s="56">
        <f>SUM(G358:G362)</f>
        <v>1828481</v>
      </c>
      <c r="H363" s="57">
        <f>SUM(H358:H362)</f>
        <v>1247</v>
      </c>
      <c r="I363" s="156">
        <f>H363</f>
        <v>1247</v>
      </c>
      <c r="J363" s="12"/>
      <c r="K363" s="13"/>
      <c r="L363" s="2"/>
      <c r="M363" s="2"/>
    </row>
    <row r="364" spans="1:13" s="8" customFormat="1" ht="16.5" thickBot="1" x14ac:dyDescent="0.3">
      <c r="A364" s="187"/>
      <c r="B364" s="188"/>
      <c r="C364" s="189"/>
      <c r="D364" s="190"/>
      <c r="E364" s="191"/>
      <c r="F364" s="192"/>
      <c r="G364" s="327"/>
      <c r="H364" s="230"/>
      <c r="I364" s="193"/>
      <c r="J364" s="12"/>
      <c r="K364" s="13"/>
      <c r="L364" s="2"/>
      <c r="M364" s="2"/>
    </row>
    <row r="365" spans="1:13" s="8" customFormat="1" ht="32.25" thickBot="1" x14ac:dyDescent="0.3">
      <c r="A365" s="99"/>
      <c r="B365" s="194"/>
      <c r="C365" s="195" t="s">
        <v>155</v>
      </c>
      <c r="D365" s="127">
        <f>D30+D33+D39+D47+D57+D94+D113+D131+D135+D139+D144+D153+D163+D167+D170+D175+D181+D184+D198+D201+D209+D212+D215+D227+D237+D240+D246+D257+D262+D265+D288+D308+D310+D312+D347+D350+D353+D356+D363</f>
        <v>100126</v>
      </c>
      <c r="E365" s="127">
        <f>E30+E33+E39+E47+E57+E94+E113+E131+E135+E139+E144+E153+E163+E167+E170+E175+E181+E184+E198+E201+E209+E212+E215+E227+E237+E240+E246+E257+E262+E265+E288+E308+E310+E312+E347+E350+E353+E356+E363</f>
        <v>161804.4</v>
      </c>
      <c r="F365" s="127">
        <f>F30+F33+F39+F47+F57+F94+F113+F131+F135+F139+F144+F153+F163+F167+F170+F175+F181+F184+F198+F201+F209+F212+F215+F227+F237+F240+F246+F257+F262+F265+F288+F308+F310+F312+F347+F350+F353+F356+F363</f>
        <v>67754482.879999995</v>
      </c>
      <c r="G365" s="127">
        <f>G30+G33+G39+G47+G57+G94+G113+G131+G135+G139+G144+G153+G163+G167+G170+G175+G181+G184+G198+G201+G209+G212+G215+G227+G237+G240+G246+G257+G262+G265+G288+G308+G310+G312+G347+G350+G353+G356+G363</f>
        <v>79404370.61999999</v>
      </c>
      <c r="H365" s="252">
        <f>H30+H33+H39+H47+H57+H94+H113+H131+H135+H139+H144+H153+H163+H167+H170+H175+H181+H184+H198+H201+H209+H212+H215+H227+H237+H240+H246+H257+H262+H265+H288+H308+H310+H312+H347+H350+H353+H356+H363</f>
        <v>104061.5</v>
      </c>
      <c r="I365" s="196">
        <f>SUM(I8:I363)</f>
        <v>104061.5</v>
      </c>
      <c r="J365" s="13"/>
      <c r="K365" s="13"/>
      <c r="L365" s="2"/>
      <c r="M365" s="2"/>
    </row>
    <row r="366" spans="1:13" s="8" customFormat="1" ht="16.5" thickBot="1" x14ac:dyDescent="0.3">
      <c r="A366" s="238"/>
      <c r="B366" s="276"/>
      <c r="C366" s="277"/>
      <c r="D366" s="278"/>
      <c r="E366" s="259"/>
      <c r="F366" s="259"/>
      <c r="G366" s="259"/>
      <c r="H366" s="279"/>
      <c r="I366" s="280"/>
      <c r="J366" s="12"/>
      <c r="K366" s="13"/>
      <c r="L366" s="2"/>
      <c r="M366" s="2"/>
    </row>
    <row r="367" spans="1:13" s="8" customFormat="1" ht="30.75" thickBot="1" x14ac:dyDescent="0.25">
      <c r="A367" s="238"/>
      <c r="B367" s="273"/>
      <c r="C367" s="273" t="s">
        <v>152</v>
      </c>
      <c r="D367" s="273">
        <f>-D363</f>
        <v>-1131</v>
      </c>
      <c r="E367" s="273">
        <f>-E363</f>
        <v>-2450.4</v>
      </c>
      <c r="F367" s="273">
        <f>-F363</f>
        <v>-1706981</v>
      </c>
      <c r="G367" s="273">
        <f>-G363</f>
        <v>-1828481</v>
      </c>
      <c r="H367" s="274">
        <f>-H363</f>
        <v>-1247</v>
      </c>
      <c r="I367" s="275"/>
      <c r="J367" s="12"/>
      <c r="K367" s="13"/>
      <c r="L367" s="2"/>
      <c r="M367" s="2"/>
    </row>
    <row r="368" spans="1:13" s="8" customFormat="1" ht="16.5" thickBot="1" x14ac:dyDescent="0.3">
      <c r="A368" s="276"/>
      <c r="B368" s="276"/>
      <c r="C368" s="281"/>
      <c r="D368" s="282"/>
      <c r="E368" s="282"/>
      <c r="F368" s="283"/>
      <c r="G368" s="283"/>
      <c r="H368" s="282"/>
      <c r="I368" s="259"/>
      <c r="J368" s="13"/>
      <c r="K368" s="13"/>
      <c r="L368" s="2"/>
      <c r="M368" s="2"/>
    </row>
    <row r="369" spans="1:15" s="8" customFormat="1" ht="32.25" thickBot="1" x14ac:dyDescent="0.3">
      <c r="A369" s="99"/>
      <c r="B369" s="194"/>
      <c r="C369" s="195" t="s">
        <v>153</v>
      </c>
      <c r="D369" s="127">
        <f>SUM(D365:D367)</f>
        <v>98995</v>
      </c>
      <c r="E369" s="127">
        <f>SUM(E365:E367)</f>
        <v>159354</v>
      </c>
      <c r="F369" s="127">
        <f>SUM(F365:F367)</f>
        <v>66047501.879999995</v>
      </c>
      <c r="G369" s="127">
        <f>SUM(G365:G367)</f>
        <v>77575889.61999999</v>
      </c>
      <c r="H369" s="252">
        <f>SUM(H365:H367)</f>
        <v>102814.5</v>
      </c>
      <c r="I369" s="196">
        <f>H369</f>
        <v>102814.5</v>
      </c>
      <c r="J369" s="244"/>
      <c r="K369" s="13"/>
      <c r="L369" s="2"/>
      <c r="M369" s="2"/>
    </row>
    <row r="370" spans="1:15" s="8" customFormat="1" ht="16.5" thickBot="1" x14ac:dyDescent="0.3">
      <c r="A370" s="276"/>
      <c r="B370" s="328"/>
      <c r="C370" s="328"/>
      <c r="D370" s="328"/>
      <c r="E370" s="259"/>
      <c r="F370" s="259"/>
      <c r="G370" s="259"/>
      <c r="H370" s="259"/>
      <c r="I370" s="259"/>
      <c r="J370" s="12"/>
      <c r="K370" s="13"/>
      <c r="L370" s="2"/>
      <c r="M370" s="2"/>
    </row>
    <row r="371" spans="1:15" s="8" customFormat="1" ht="16.5" thickBot="1" x14ac:dyDescent="0.3">
      <c r="A371" s="99"/>
      <c r="B371" s="194"/>
      <c r="C371" s="195" t="s">
        <v>154</v>
      </c>
      <c r="D371" s="127">
        <f>D361</f>
        <v>0</v>
      </c>
      <c r="E371" s="127">
        <f>E361</f>
        <v>0.4</v>
      </c>
      <c r="F371" s="127">
        <f>F361</f>
        <v>450</v>
      </c>
      <c r="G371" s="127">
        <f>G361</f>
        <v>450</v>
      </c>
      <c r="H371" s="252">
        <f>H361</f>
        <v>0</v>
      </c>
      <c r="I371" s="196">
        <f>H371</f>
        <v>0</v>
      </c>
      <c r="J371" s="12"/>
      <c r="K371" s="13"/>
      <c r="L371" s="2"/>
      <c r="M371" s="2"/>
    </row>
    <row r="372" spans="1:15" s="8" customFormat="1" ht="16.5" thickBot="1" x14ac:dyDescent="0.3">
      <c r="A372" s="276"/>
      <c r="B372" s="328"/>
      <c r="C372" s="328"/>
      <c r="D372" s="328"/>
      <c r="E372" s="259"/>
      <c r="F372" s="259"/>
      <c r="G372" s="259"/>
      <c r="H372" s="259"/>
      <c r="I372" s="259"/>
      <c r="J372" s="12"/>
      <c r="K372" s="13"/>
      <c r="L372" s="2"/>
      <c r="M372" s="2"/>
    </row>
    <row r="373" spans="1:15" s="8" customFormat="1" ht="16.5" thickBot="1" x14ac:dyDescent="0.3">
      <c r="A373" s="201"/>
      <c r="B373" s="202"/>
      <c r="C373" s="203" t="s">
        <v>158</v>
      </c>
      <c r="D373" s="204">
        <f>SUM(D369:D371)</f>
        <v>98995</v>
      </c>
      <c r="E373" s="204">
        <f>SUM(E369:E371)</f>
        <v>159354.4</v>
      </c>
      <c r="F373" s="205">
        <f>SUM(F369:F371)</f>
        <v>66047951.879999995</v>
      </c>
      <c r="G373" s="205">
        <f>SUM(G369:G371)</f>
        <v>77576339.61999999</v>
      </c>
      <c r="H373" s="206">
        <f>SUM(H369:H371)</f>
        <v>102814.5</v>
      </c>
      <c r="I373" s="207">
        <f>H373</f>
        <v>102814.5</v>
      </c>
      <c r="J373" s="12"/>
      <c r="K373" s="13"/>
      <c r="L373" s="2"/>
      <c r="M373" s="2"/>
    </row>
    <row r="374" spans="1:15" s="8" customFormat="1" ht="15.75" x14ac:dyDescent="0.25">
      <c r="A374" s="246"/>
      <c r="B374" s="246"/>
      <c r="C374" s="247"/>
      <c r="D374" s="248"/>
      <c r="E374" s="249"/>
      <c r="F374" s="249"/>
      <c r="G374" s="249"/>
      <c r="H374" s="250"/>
      <c r="I374" s="249"/>
      <c r="J374" s="12"/>
      <c r="K374" s="13"/>
      <c r="L374" s="2"/>
      <c r="M374" s="2"/>
    </row>
    <row r="375" spans="1:15" s="8" customFormat="1" ht="15.75" x14ac:dyDescent="0.25">
      <c r="A375" s="41"/>
      <c r="B375" s="41"/>
      <c r="C375" s="211"/>
      <c r="D375" s="212"/>
      <c r="E375" s="213"/>
      <c r="F375" s="213"/>
      <c r="G375" s="213"/>
      <c r="H375" s="232"/>
      <c r="I375" s="213"/>
      <c r="J375" s="12"/>
      <c r="K375" s="13"/>
      <c r="L375" s="2"/>
      <c r="M375" s="2"/>
    </row>
    <row r="376" spans="1:15" ht="16.5" thickBot="1" x14ac:dyDescent="0.3">
      <c r="B376" s="215"/>
      <c r="C376" s="11" t="s">
        <v>192</v>
      </c>
      <c r="D376" s="121"/>
      <c r="F376" s="59"/>
      <c r="G376" s="59"/>
      <c r="H376" s="234"/>
      <c r="I376" s="59"/>
      <c r="M376"/>
      <c r="N376"/>
      <c r="O376"/>
    </row>
    <row r="377" spans="1:15" ht="32.25" thickBot="1" x14ac:dyDescent="0.3">
      <c r="B377" s="215"/>
      <c r="C377" s="216" t="s">
        <v>166</v>
      </c>
      <c r="D377" s="204">
        <f>'Rozpočet 2018 příjmy '!D83</f>
        <v>72849</v>
      </c>
      <c r="E377" s="204">
        <f>'Rozpočet 2018 příjmy '!E83</f>
        <v>115962.40000000001</v>
      </c>
      <c r="F377" s="204">
        <f>'Rozpočet 2018 příjmy '!F83</f>
        <v>83051116.060000002</v>
      </c>
      <c r="G377" s="204">
        <f>'Rozpočet 2018 příjmy '!G83</f>
        <v>86639974.700000003</v>
      </c>
      <c r="H377" s="235"/>
      <c r="I377" s="258">
        <f>'Rozpočet 2018 příjmy '!I83</f>
        <v>58879</v>
      </c>
      <c r="M377"/>
      <c r="N377"/>
      <c r="O377"/>
    </row>
    <row r="378" spans="1:15" ht="15.75" x14ac:dyDescent="0.25">
      <c r="B378" s="215"/>
      <c r="D378" s="218"/>
      <c r="E378" s="218"/>
      <c r="F378" s="218"/>
      <c r="G378" s="218"/>
      <c r="H378" s="236"/>
      <c r="I378" s="59"/>
      <c r="M378"/>
      <c r="N378"/>
      <c r="O378"/>
    </row>
    <row r="379" spans="1:15" ht="15.75" x14ac:dyDescent="0.25">
      <c r="B379" s="215"/>
      <c r="C379" s="214" t="s">
        <v>157</v>
      </c>
      <c r="D379" s="59">
        <f>D381-D380</f>
        <v>32333</v>
      </c>
      <c r="E379" s="59">
        <f>E381-E380</f>
        <v>63886.7</v>
      </c>
      <c r="F379" s="59">
        <f>F381-F380</f>
        <v>29958922.869999997</v>
      </c>
      <c r="G379" s="59">
        <f>G381-G380</f>
        <v>33781216.359999999</v>
      </c>
      <c r="H379" s="236"/>
      <c r="I379" s="122">
        <f>I381-I380</f>
        <v>34373</v>
      </c>
      <c r="M379"/>
      <c r="N379"/>
      <c r="O379"/>
    </row>
    <row r="380" spans="1:15" ht="16.5" thickBot="1" x14ac:dyDescent="0.3">
      <c r="B380" s="215"/>
      <c r="C380" s="214" t="s">
        <v>49</v>
      </c>
      <c r="D380" s="59">
        <f>D23+D24+D29+D46+D77+D79+D80+D82+D83+D86+D87+D89+D91+D92+D93+D137+D138+D150+D170+D208+D225+D226+D286+D287</f>
        <v>66662</v>
      </c>
      <c r="E380" s="59">
        <f t="shared" ref="E380:G380" si="1">E23+E24+E29+E46+E77+E79+E80+E82+E83+E86+E87+E89+E91+E92+E93+E137+E138+E150+E170+E208+E225+E226+E286+E287</f>
        <v>95467.7</v>
      </c>
      <c r="F380" s="59">
        <f t="shared" si="1"/>
        <v>36089029.009999998</v>
      </c>
      <c r="G380" s="59">
        <f t="shared" si="1"/>
        <v>43795123.25999999</v>
      </c>
      <c r="H380" s="236"/>
      <c r="I380" s="122">
        <f>H25+H26+H27+H28+H46+H77+H79+H80+H82+H83+H151+H169+H225+H286+H287</f>
        <v>68441.5</v>
      </c>
      <c r="M380"/>
      <c r="N380"/>
      <c r="O380"/>
    </row>
    <row r="381" spans="1:15" ht="16.5" thickBot="1" x14ac:dyDescent="0.3">
      <c r="B381" s="215"/>
      <c r="C381" s="216" t="s">
        <v>156</v>
      </c>
      <c r="D381" s="219">
        <f>D373</f>
        <v>98995</v>
      </c>
      <c r="E381" s="219">
        <f>E373</f>
        <v>159354.4</v>
      </c>
      <c r="F381" s="219">
        <f>F373</f>
        <v>66047951.879999995</v>
      </c>
      <c r="G381" s="219">
        <f>G373</f>
        <v>77576339.61999999</v>
      </c>
      <c r="H381" s="231"/>
      <c r="I381" s="258">
        <f>I373</f>
        <v>102814.5</v>
      </c>
      <c r="M381"/>
      <c r="N381"/>
      <c r="O381"/>
    </row>
    <row r="382" spans="1:15" ht="16.5" thickBot="1" x14ac:dyDescent="0.3">
      <c r="B382" s="215"/>
      <c r="C382" s="220"/>
      <c r="F382" s="59"/>
      <c r="G382" s="59"/>
      <c r="H382" s="234"/>
      <c r="I382" s="59"/>
      <c r="M382"/>
      <c r="N382"/>
      <c r="O382"/>
    </row>
    <row r="383" spans="1:15" ht="16.5" thickBot="1" x14ac:dyDescent="0.3">
      <c r="B383" s="215"/>
      <c r="C383" s="284" t="s">
        <v>215</v>
      </c>
      <c r="D383" s="285">
        <f>D377-D381</f>
        <v>-26146</v>
      </c>
      <c r="E383" s="285">
        <f>E377-E381</f>
        <v>-43391.999999999985</v>
      </c>
      <c r="F383" s="285">
        <f>F377-F381</f>
        <v>17003164.180000007</v>
      </c>
      <c r="G383" s="285">
        <f>G377-G381</f>
        <v>9063635.0800000131</v>
      </c>
      <c r="H383" s="234"/>
      <c r="I383" s="329">
        <f>I377-I381</f>
        <v>-43935.5</v>
      </c>
      <c r="M383"/>
      <c r="N383"/>
      <c r="O383"/>
    </row>
    <row r="384" spans="1:15" ht="16.5" thickBot="1" x14ac:dyDescent="0.3">
      <c r="B384" s="215"/>
      <c r="C384" s="220"/>
      <c r="F384" s="59"/>
      <c r="G384" s="59"/>
      <c r="H384" s="234"/>
      <c r="I384" s="59"/>
      <c r="M384"/>
      <c r="N384"/>
      <c r="O384"/>
    </row>
    <row r="385" spans="1:15" ht="32.25" thickBot="1" x14ac:dyDescent="0.3">
      <c r="B385" s="215"/>
      <c r="C385" s="216" t="s">
        <v>193</v>
      </c>
      <c r="D385" s="204">
        <f>-(D383)</f>
        <v>26146</v>
      </c>
      <c r="E385" s="204">
        <f>-(E383)</f>
        <v>43391.999999999985</v>
      </c>
      <c r="F385" s="205">
        <f>-(F383)</f>
        <v>-17003164.180000007</v>
      </c>
      <c r="G385" s="207">
        <f>-(G383)</f>
        <v>-9063635.0800000131</v>
      </c>
      <c r="H385" s="234"/>
      <c r="I385" s="258">
        <f>-(I383)</f>
        <v>43935.5</v>
      </c>
      <c r="M385"/>
      <c r="N385"/>
      <c r="O385"/>
    </row>
    <row r="386" spans="1:15" x14ac:dyDescent="0.2">
      <c r="C386" s="221"/>
      <c r="D386" s="222"/>
      <c r="E386" s="222"/>
      <c r="F386" s="222"/>
      <c r="G386" s="222"/>
      <c r="H386" s="237"/>
      <c r="K386" s="20"/>
      <c r="L386" s="20"/>
    </row>
    <row r="387" spans="1:15" x14ac:dyDescent="0.2">
      <c r="K387" s="20"/>
      <c r="L387" s="20"/>
    </row>
    <row r="388" spans="1:15" x14ac:dyDescent="0.2">
      <c r="D388" s="218"/>
      <c r="E388" s="218"/>
      <c r="F388" s="218"/>
      <c r="G388" s="218"/>
      <c r="K388" s="20"/>
      <c r="L388" s="20"/>
    </row>
    <row r="389" spans="1:15" x14ac:dyDescent="0.2">
      <c r="D389" s="218"/>
      <c r="E389" s="218"/>
      <c r="F389" s="218"/>
      <c r="G389" s="218"/>
    </row>
    <row r="390" spans="1:15" ht="15.75" x14ac:dyDescent="0.25">
      <c r="C390" s="214"/>
      <c r="D390" s="122"/>
      <c r="E390" s="122"/>
      <c r="F390" s="122"/>
      <c r="G390" s="122"/>
    </row>
    <row r="391" spans="1:15" x14ac:dyDescent="0.2">
      <c r="C391" s="220"/>
      <c r="F391" s="59"/>
      <c r="G391" s="59"/>
    </row>
    <row r="392" spans="1:15" x14ac:dyDescent="0.2">
      <c r="C392" s="220"/>
      <c r="F392" s="59"/>
      <c r="G392" s="59"/>
    </row>
    <row r="393" spans="1:15" x14ac:dyDescent="0.2">
      <c r="C393" s="220"/>
      <c r="F393" s="59"/>
      <c r="G393" s="59"/>
    </row>
    <row r="394" spans="1:15" s="233" customFormat="1" ht="15.75" x14ac:dyDescent="0.25">
      <c r="A394" s="110"/>
      <c r="B394" s="110"/>
      <c r="C394" s="122"/>
      <c r="D394" s="122"/>
      <c r="E394" s="122"/>
      <c r="F394" s="122"/>
      <c r="G394" s="122"/>
      <c r="I394" s="41"/>
      <c r="J394" s="12"/>
      <c r="K394" s="13"/>
      <c r="L394" s="2"/>
      <c r="M394" s="2"/>
      <c r="N394" s="2"/>
      <c r="O394" s="2"/>
    </row>
    <row r="395" spans="1:15" s="233" customFormat="1" ht="15.75" x14ac:dyDescent="0.25">
      <c r="A395" s="110"/>
      <c r="B395" s="110"/>
      <c r="C395" s="214"/>
      <c r="D395" s="122"/>
      <c r="E395" s="122"/>
      <c r="F395" s="122"/>
      <c r="G395" s="122"/>
      <c r="I395" s="41"/>
      <c r="J395" s="12"/>
      <c r="K395" s="13"/>
      <c r="L395" s="2"/>
      <c r="M395" s="2"/>
      <c r="N395" s="2"/>
      <c r="O395" s="2"/>
    </row>
  </sheetData>
  <mergeCells count="4">
    <mergeCell ref="A2:I2"/>
    <mergeCell ref="D4:F4"/>
    <mergeCell ref="H4:I4"/>
    <mergeCell ref="A1:I1"/>
  </mergeCells>
  <pageMargins left="0.70866141732283472" right="0.70866141732283472" top="0.78740157480314965" bottom="0.78740157480314965" header="0.31496062992125984" footer="0.31496062992125984"/>
  <pageSetup paperSize="9" scale="74" fitToHeight="55" orientation="landscape" r:id="rId1"/>
  <headerFooter differentFirst="1">
    <oddFooter>&amp;CStránka &amp;P</oddFooter>
    <firstHeader xml:space="preserve">&amp;LPříloha č. 1 k bodu 10  23. zasedání ZMČ Praha Kunratice dne 20.12.2017
</firstHeader>
    <firstFooter>&amp;CStránka 1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Rozpočet 2018 příjmy </vt:lpstr>
      <vt:lpstr>Rozpočet 2018 výdaje </vt:lpstr>
      <vt:lpstr>'Rozpočet 2018 příjmy '!Názvy_tisku</vt:lpstr>
      <vt:lpstr>'Rozpočet 2018 výdaje '!Názvy_tisku</vt:lpstr>
      <vt:lpstr>'Rozpočet 2018 výdaje 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Voříšková Jitka</dc:creator>
  <cp:lastModifiedBy>Voříšková Jitka</cp:lastModifiedBy>
  <cp:lastPrinted>2018-01-22T17:39:21Z</cp:lastPrinted>
  <dcterms:created xsi:type="dcterms:W3CDTF">2001-03-03T09:02:45Z</dcterms:created>
  <dcterms:modified xsi:type="dcterms:W3CDTF">2018-01-23T13:49:16Z</dcterms:modified>
</cp:coreProperties>
</file>