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ROZPOČET INFO\2019 Rozpočet a ost k zveřejnění\"/>
    </mc:Choice>
  </mc:AlternateContent>
  <bookViews>
    <workbookView xWindow="0" yWindow="0" windowWidth="19440" windowHeight="11985"/>
  </bookViews>
  <sheets>
    <sheet name="Rozpočet 2019 Příjmy " sheetId="83" r:id="rId1"/>
    <sheet name="Rozpočet 2019 Výdaje" sheetId="84" r:id="rId2"/>
  </sheets>
  <definedNames>
    <definedName name="_xlnm.Print_Titles" localSheetId="0">'Rozpočet 2019 Příjmy '!$1:$6</definedName>
    <definedName name="_xlnm.Print_Titles" localSheetId="1">'Rozpočet 2019 Výdaje'!$1:$6</definedName>
  </definedNames>
  <calcPr calcId="152511"/>
</workbook>
</file>

<file path=xl/calcChain.xml><?xml version="1.0" encoding="utf-8"?>
<calcChain xmlns="http://schemas.openxmlformats.org/spreadsheetml/2006/main">
  <c r="H411" i="84" l="1"/>
  <c r="I411" i="84" s="1"/>
  <c r="H194" i="84"/>
  <c r="E408" i="84"/>
  <c r="D408" i="84"/>
  <c r="H387" i="84"/>
  <c r="G387" i="84"/>
  <c r="F387" i="84"/>
  <c r="E387" i="84"/>
  <c r="D387" i="84"/>
  <c r="H384" i="84"/>
  <c r="G384" i="84"/>
  <c r="F384" i="84"/>
  <c r="E384" i="84"/>
  <c r="D384" i="84"/>
  <c r="G383" i="84"/>
  <c r="F383" i="84"/>
  <c r="E383" i="84"/>
  <c r="D383" i="84"/>
  <c r="H383" i="84"/>
  <c r="H382" i="84"/>
  <c r="G382" i="84"/>
  <c r="F382" i="84"/>
  <c r="E382" i="84"/>
  <c r="D382" i="84"/>
  <c r="D411" i="84"/>
  <c r="I396" i="84"/>
  <c r="H396" i="84"/>
  <c r="D396" i="84"/>
  <c r="G385" i="84"/>
  <c r="G396" i="84" s="1"/>
  <c r="F385" i="84"/>
  <c r="F396" i="84" s="1"/>
  <c r="E385" i="84"/>
  <c r="E396" i="84" s="1"/>
  <c r="H380" i="84"/>
  <c r="I380" i="84" s="1"/>
  <c r="G380" i="84"/>
  <c r="F380" i="84"/>
  <c r="D380" i="84"/>
  <c r="E379" i="84"/>
  <c r="E380" i="84" s="1"/>
  <c r="H377" i="84"/>
  <c r="I377" i="84" s="1"/>
  <c r="G377" i="84"/>
  <c r="F377" i="84"/>
  <c r="E377" i="84"/>
  <c r="D377" i="84"/>
  <c r="I374" i="84"/>
  <c r="H374" i="84"/>
  <c r="G374" i="84"/>
  <c r="F374" i="84"/>
  <c r="E374" i="84"/>
  <c r="D374" i="84"/>
  <c r="H371" i="84"/>
  <c r="I371" i="84" s="1"/>
  <c r="G371" i="84"/>
  <c r="F371" i="84"/>
  <c r="D371" i="84"/>
  <c r="E358" i="84"/>
  <c r="E356" i="84"/>
  <c r="E344" i="84"/>
  <c r="E339" i="84"/>
  <c r="E338" i="84"/>
  <c r="E336" i="84"/>
  <c r="I334" i="84"/>
  <c r="I332" i="84"/>
  <c r="F330" i="84"/>
  <c r="D330" i="84"/>
  <c r="H328" i="84"/>
  <c r="H330" i="84" s="1"/>
  <c r="I330" i="84" s="1"/>
  <c r="G328" i="84"/>
  <c r="E328" i="84"/>
  <c r="G325" i="84"/>
  <c r="F325" i="84"/>
  <c r="G320" i="84"/>
  <c r="E315" i="84"/>
  <c r="E330" i="84" s="1"/>
  <c r="H313" i="84"/>
  <c r="I313" i="84" s="1"/>
  <c r="D313" i="84"/>
  <c r="G311" i="84"/>
  <c r="F311" i="84"/>
  <c r="F313" i="84" s="1"/>
  <c r="E310" i="84"/>
  <c r="G298" i="84"/>
  <c r="G313" i="84" s="1"/>
  <c r="E292" i="84"/>
  <c r="E313" i="84" s="1"/>
  <c r="I290" i="84"/>
  <c r="H290" i="84"/>
  <c r="G290" i="84"/>
  <c r="F290" i="84"/>
  <c r="E290" i="84"/>
  <c r="D290" i="84"/>
  <c r="H287" i="84"/>
  <c r="I287" i="84" s="1"/>
  <c r="G287" i="84"/>
  <c r="F287" i="84"/>
  <c r="E287" i="84"/>
  <c r="D287" i="84"/>
  <c r="I282" i="84"/>
  <c r="H282" i="84"/>
  <c r="D282" i="84"/>
  <c r="G278" i="84"/>
  <c r="G282" i="84" s="1"/>
  <c r="F278" i="84"/>
  <c r="F282" i="84" s="1"/>
  <c r="E278" i="84"/>
  <c r="E282" i="84" s="1"/>
  <c r="G277" i="84"/>
  <c r="F277" i="84"/>
  <c r="I270" i="84"/>
  <c r="H270" i="84"/>
  <c r="G270" i="84"/>
  <c r="F270" i="84"/>
  <c r="E270" i="84"/>
  <c r="D270" i="84"/>
  <c r="E266" i="84"/>
  <c r="H264" i="84"/>
  <c r="I264" i="84" s="1"/>
  <c r="G264" i="84"/>
  <c r="F264" i="84"/>
  <c r="E264" i="84"/>
  <c r="D264" i="84"/>
  <c r="I261" i="84"/>
  <c r="H261" i="84"/>
  <c r="G261" i="84"/>
  <c r="F261" i="84"/>
  <c r="E261" i="84"/>
  <c r="D261" i="84"/>
  <c r="H253" i="84"/>
  <c r="I253" i="84" s="1"/>
  <c r="D253" i="84"/>
  <c r="E248" i="84"/>
  <c r="E253" i="84" s="1"/>
  <c r="G247" i="84"/>
  <c r="F247" i="84"/>
  <c r="F246" i="84"/>
  <c r="F253" i="84" s="1"/>
  <c r="H240" i="84"/>
  <c r="I240" i="84" s="1"/>
  <c r="G240" i="84"/>
  <c r="F240" i="84"/>
  <c r="E240" i="84"/>
  <c r="D240" i="84"/>
  <c r="H237" i="84"/>
  <c r="I237" i="84" s="1"/>
  <c r="F237" i="84"/>
  <c r="E237" i="84"/>
  <c r="D237" i="84"/>
  <c r="G236" i="84"/>
  <c r="G237" i="84" s="1"/>
  <c r="H234" i="84"/>
  <c r="I234" i="84" s="1"/>
  <c r="G234" i="84"/>
  <c r="F234" i="84"/>
  <c r="D234" i="84"/>
  <c r="E227" i="84"/>
  <c r="E234" i="84" s="1"/>
  <c r="H223" i="84"/>
  <c r="I223" i="84" s="1"/>
  <c r="G223" i="84"/>
  <c r="F223" i="84"/>
  <c r="E223" i="84"/>
  <c r="D223" i="84"/>
  <c r="H220" i="84"/>
  <c r="I220" i="84" s="1"/>
  <c r="F220" i="84"/>
  <c r="D220" i="84"/>
  <c r="G213" i="84"/>
  <c r="G220" i="84" s="1"/>
  <c r="E210" i="84"/>
  <c r="E209" i="84"/>
  <c r="E208" i="84"/>
  <c r="E207" i="84"/>
  <c r="H205" i="84"/>
  <c r="I205" i="84" s="1"/>
  <c r="G205" i="84"/>
  <c r="F205" i="84"/>
  <c r="E205" i="84"/>
  <c r="D205" i="84"/>
  <c r="H202" i="84"/>
  <c r="I202" i="84" s="1"/>
  <c r="G202" i="84"/>
  <c r="F202" i="84"/>
  <c r="E202" i="84"/>
  <c r="D202" i="84"/>
  <c r="I194" i="84"/>
  <c r="G194" i="84"/>
  <c r="F194" i="84"/>
  <c r="E194" i="84"/>
  <c r="I191" i="84"/>
  <c r="H191" i="84"/>
  <c r="E191" i="84"/>
  <c r="D191" i="84"/>
  <c r="G190" i="84"/>
  <c r="F190" i="84"/>
  <c r="G189" i="84"/>
  <c r="F189" i="84"/>
  <c r="F191" i="84" s="1"/>
  <c r="H187" i="84"/>
  <c r="I187" i="84" s="1"/>
  <c r="G187" i="84"/>
  <c r="F187" i="84"/>
  <c r="E187" i="84"/>
  <c r="D187" i="84"/>
  <c r="H183" i="84"/>
  <c r="I183" i="84" s="1"/>
  <c r="D183" i="84"/>
  <c r="E182" i="84"/>
  <c r="G180" i="84"/>
  <c r="F180" i="84"/>
  <c r="E180" i="84"/>
  <c r="G176" i="84"/>
  <c r="F176" i="84"/>
  <c r="E176" i="84"/>
  <c r="H173" i="84"/>
  <c r="I173" i="84" s="1"/>
  <c r="G173" i="84"/>
  <c r="F173" i="84"/>
  <c r="D173" i="84"/>
  <c r="E170" i="84"/>
  <c r="E169" i="84"/>
  <c r="E167" i="84"/>
  <c r="H164" i="84"/>
  <c r="I164" i="84" s="1"/>
  <c r="G164" i="84"/>
  <c r="F164" i="84"/>
  <c r="D164" i="84"/>
  <c r="G162" i="84"/>
  <c r="F162" i="84"/>
  <c r="E162" i="84"/>
  <c r="E164" i="84" s="1"/>
  <c r="H159" i="84"/>
  <c r="I159" i="84" s="1"/>
  <c r="G159" i="84"/>
  <c r="F159" i="84"/>
  <c r="D159" i="84"/>
  <c r="E158" i="84"/>
  <c r="E159" i="84" s="1"/>
  <c r="H153" i="84"/>
  <c r="I153" i="84" s="1"/>
  <c r="D153" i="84"/>
  <c r="E148" i="84"/>
  <c r="E153" i="84" s="1"/>
  <c r="G145" i="84"/>
  <c r="G153" i="84" s="1"/>
  <c r="F145" i="84"/>
  <c r="F153" i="84" s="1"/>
  <c r="H135" i="84"/>
  <c r="I135" i="84" s="1"/>
  <c r="G135" i="84"/>
  <c r="F135" i="84"/>
  <c r="D135" i="84"/>
  <c r="E134" i="84"/>
  <c r="E132" i="84"/>
  <c r="E120" i="84"/>
  <c r="E119" i="84"/>
  <c r="E118" i="84"/>
  <c r="E135" i="84" s="1"/>
  <c r="E117" i="84"/>
  <c r="H115" i="84"/>
  <c r="I115" i="84" s="1"/>
  <c r="D115" i="84"/>
  <c r="F114" i="84"/>
  <c r="G113" i="84"/>
  <c r="F113" i="84"/>
  <c r="G111" i="84"/>
  <c r="F111" i="84"/>
  <c r="E110" i="84"/>
  <c r="G108" i="84"/>
  <c r="F108" i="84"/>
  <c r="G93" i="84"/>
  <c r="F93" i="84"/>
  <c r="G92" i="84"/>
  <c r="F92" i="84"/>
  <c r="E89" i="84"/>
  <c r="E115" i="84" s="1"/>
  <c r="G83" i="84"/>
  <c r="F83" i="84"/>
  <c r="G78" i="84"/>
  <c r="F78" i="84"/>
  <c r="D78" i="84"/>
  <c r="E76" i="84"/>
  <c r="E74" i="84"/>
  <c r="E69" i="84"/>
  <c r="E78" i="84" s="1"/>
  <c r="H67" i="84"/>
  <c r="H78" i="84" s="1"/>
  <c r="I78" i="84" s="1"/>
  <c r="H63" i="84"/>
  <c r="I63" i="84" s="1"/>
  <c r="G63" i="84"/>
  <c r="F63" i="84"/>
  <c r="E63" i="84"/>
  <c r="D63" i="84"/>
  <c r="H54" i="84"/>
  <c r="I54" i="84" s="1"/>
  <c r="G54" i="84"/>
  <c r="F54" i="84"/>
  <c r="E54" i="84"/>
  <c r="D54" i="84"/>
  <c r="H47" i="84"/>
  <c r="I47" i="84" s="1"/>
  <c r="G47" i="84"/>
  <c r="F47" i="84"/>
  <c r="E47" i="84"/>
  <c r="D47" i="84"/>
  <c r="H44" i="84"/>
  <c r="D44" i="84"/>
  <c r="G39" i="84"/>
  <c r="F39" i="84"/>
  <c r="E39" i="84"/>
  <c r="G36" i="84"/>
  <c r="F36" i="84"/>
  <c r="F32" i="84"/>
  <c r="G32" i="84" s="1"/>
  <c r="G411" i="84" s="1"/>
  <c r="E32" i="84"/>
  <c r="G29" i="84"/>
  <c r="F29" i="84"/>
  <c r="E29" i="84"/>
  <c r="G23" i="84"/>
  <c r="F23" i="84"/>
  <c r="G22" i="84"/>
  <c r="E22" i="84"/>
  <c r="G21" i="84"/>
  <c r="F21" i="84"/>
  <c r="E15" i="84"/>
  <c r="F14" i="84"/>
  <c r="G13" i="84"/>
  <c r="H11" i="84"/>
  <c r="F11" i="84"/>
  <c r="H77" i="83"/>
  <c r="H82" i="83" s="1"/>
  <c r="I82" i="83" s="1"/>
  <c r="D77" i="83"/>
  <c r="D82" i="83" s="1"/>
  <c r="H76" i="83"/>
  <c r="G76" i="83"/>
  <c r="F76" i="83"/>
  <c r="E76" i="83"/>
  <c r="D76" i="83"/>
  <c r="H75" i="83"/>
  <c r="G75" i="83"/>
  <c r="F75" i="83"/>
  <c r="E75" i="83"/>
  <c r="D75" i="83"/>
  <c r="H74" i="83"/>
  <c r="G74" i="83"/>
  <c r="F74" i="83"/>
  <c r="E74" i="83"/>
  <c r="D74" i="83"/>
  <c r="H72" i="83"/>
  <c r="H78" i="83" s="1"/>
  <c r="I78" i="83" s="1"/>
  <c r="G72" i="83"/>
  <c r="F72" i="83"/>
  <c r="F78" i="83" s="1"/>
  <c r="E72" i="83"/>
  <c r="E78" i="83" s="1"/>
  <c r="D72" i="83"/>
  <c r="D78" i="83" s="1"/>
  <c r="H66" i="83"/>
  <c r="I66" i="83" s="1"/>
  <c r="D66" i="83"/>
  <c r="E65" i="83"/>
  <c r="E64" i="83"/>
  <c r="E61" i="83"/>
  <c r="G60" i="83"/>
  <c r="F60" i="83"/>
  <c r="E60" i="83"/>
  <c r="G59" i="83"/>
  <c r="F59" i="83"/>
  <c r="E59" i="83"/>
  <c r="E58" i="83"/>
  <c r="E57" i="83"/>
  <c r="E56" i="83"/>
  <c r="G55" i="83"/>
  <c r="G77" i="83" s="1"/>
  <c r="G82" i="83" s="1"/>
  <c r="F55" i="83"/>
  <c r="E55" i="83"/>
  <c r="E50" i="83"/>
  <c r="E77" i="83" s="1"/>
  <c r="E82" i="83" s="1"/>
  <c r="F41" i="83"/>
  <c r="F40" i="83"/>
  <c r="F77" i="83" s="1"/>
  <c r="F82" i="83" s="1"/>
  <c r="E33" i="83"/>
  <c r="E66" i="83" s="1"/>
  <c r="H30" i="83"/>
  <c r="I30" i="83" s="1"/>
  <c r="F30" i="83"/>
  <c r="E30" i="83"/>
  <c r="D30" i="83"/>
  <c r="D68" i="83" s="1"/>
  <c r="D80" i="83" s="1"/>
  <c r="D84" i="83" s="1"/>
  <c r="G23" i="83"/>
  <c r="G30" i="83" s="1"/>
  <c r="I15" i="83"/>
  <c r="H15" i="83"/>
  <c r="G15" i="83"/>
  <c r="F15" i="83"/>
  <c r="E15" i="83"/>
  <c r="D15" i="83"/>
  <c r="G115" i="84" l="1"/>
  <c r="G246" i="84"/>
  <c r="G253" i="84" s="1"/>
  <c r="E388" i="84"/>
  <c r="E392" i="84" s="1"/>
  <c r="G191" i="84"/>
  <c r="G330" i="84"/>
  <c r="G183" i="84"/>
  <c r="E220" i="84"/>
  <c r="E371" i="84"/>
  <c r="E390" i="84" s="1"/>
  <c r="E394" i="84" s="1"/>
  <c r="E398" i="84" s="1"/>
  <c r="E412" i="84" s="1"/>
  <c r="E410" i="84" s="1"/>
  <c r="E44" i="84"/>
  <c r="E173" i="84"/>
  <c r="E183" i="84"/>
  <c r="F388" i="84"/>
  <c r="F392" i="84" s="1"/>
  <c r="G388" i="84"/>
  <c r="G392" i="84" s="1"/>
  <c r="H388" i="84"/>
  <c r="I388" i="84" s="1"/>
  <c r="I392" i="84" s="1"/>
  <c r="D388" i="84"/>
  <c r="D392" i="84" s="1"/>
  <c r="E411" i="84"/>
  <c r="F115" i="84"/>
  <c r="F44" i="84"/>
  <c r="G11" i="84"/>
  <c r="G44" i="84" s="1"/>
  <c r="F411" i="84"/>
  <c r="I44" i="84"/>
  <c r="F183" i="84"/>
  <c r="E68" i="83"/>
  <c r="E80" i="83" s="1"/>
  <c r="E84" i="83" s="1"/>
  <c r="I68" i="83"/>
  <c r="I80" i="83" s="1"/>
  <c r="I84" i="83" s="1"/>
  <c r="I408" i="84" s="1"/>
  <c r="F68" i="83"/>
  <c r="F80" i="83" s="1"/>
  <c r="F84" i="83" s="1"/>
  <c r="F408" i="84" s="1"/>
  <c r="G78" i="83"/>
  <c r="F66" i="83"/>
  <c r="H68" i="83"/>
  <c r="H80" i="83" s="1"/>
  <c r="H84" i="83" s="1"/>
  <c r="H408" i="84" s="1"/>
  <c r="G66" i="83"/>
  <c r="G68" i="83" s="1"/>
  <c r="H390" i="84" l="1"/>
  <c r="G390" i="84"/>
  <c r="G394" i="84" s="1"/>
  <c r="G398" i="84" s="1"/>
  <c r="G412" i="84" s="1"/>
  <c r="G410" i="84" s="1"/>
  <c r="H392" i="84"/>
  <c r="H394" i="84" s="1"/>
  <c r="H398" i="84" s="1"/>
  <c r="H412" i="84" s="1"/>
  <c r="I390" i="84"/>
  <c r="I394" i="84" s="1"/>
  <c r="I398" i="84" s="1"/>
  <c r="I412" i="84" s="1"/>
  <c r="I410" i="84" s="1"/>
  <c r="E414" i="84"/>
  <c r="E416" i="84" s="1"/>
  <c r="D390" i="84"/>
  <c r="D394" i="84" s="1"/>
  <c r="D398" i="84" s="1"/>
  <c r="D412" i="84" s="1"/>
  <c r="D410" i="84" s="1"/>
  <c r="F390" i="84"/>
  <c r="F394" i="84" s="1"/>
  <c r="F398" i="84" s="1"/>
  <c r="F412" i="84" s="1"/>
  <c r="G80" i="83"/>
  <c r="G84" i="83" s="1"/>
  <c r="G408" i="84" s="1"/>
  <c r="G414" i="84" s="1"/>
  <c r="G416" i="84" s="1"/>
  <c r="I414" i="84" l="1"/>
  <c r="I416" i="84" s="1"/>
  <c r="H410" i="84"/>
  <c r="H414" i="84"/>
  <c r="H416" i="84" s="1"/>
  <c r="D414" i="84"/>
  <c r="D416" i="84" s="1"/>
  <c r="F410" i="84"/>
  <c r="F414" i="84"/>
  <c r="F416" i="84" s="1"/>
</calcChain>
</file>

<file path=xl/sharedStrings.xml><?xml version="1.0" encoding="utf-8"?>
<sst xmlns="http://schemas.openxmlformats.org/spreadsheetml/2006/main" count="467" uniqueCount="392">
  <si>
    <t>RS</t>
  </si>
  <si>
    <t>Paragraf</t>
  </si>
  <si>
    <t>Položka</t>
  </si>
  <si>
    <t>Název</t>
  </si>
  <si>
    <t>Správní poplatky</t>
  </si>
  <si>
    <t>Poplatek ze psů</t>
  </si>
  <si>
    <t>Poplatek za užívání veřejného prostranství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</si>
  <si>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</si>
  <si>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</si>
  <si>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</si>
  <si>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</si>
  <si>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</si>
  <si>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</si>
  <si>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</si>
  <si>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</si>
  <si>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</si>
  <si>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</si>
  <si>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</si>
  <si>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Služby pošt</t>
  </si>
  <si>
    <t>Služby peněžních ústavů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</si>
  <si>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</si>
  <si>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</si>
  <si>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</si>
  <si>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</si>
  <si>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</si>
  <si>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</si>
  <si>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</si>
  <si>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</si>
  <si>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</si>
  <si>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</si>
  <si>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</si>
  <si>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</si>
  <si>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</si>
  <si>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</si>
  <si>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</si>
  <si>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</si>
  <si>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</si>
  <si>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</si>
  <si>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</si>
  <si>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</si>
  <si>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Poplatek z ubytovací kapacity</t>
  </si>
  <si>
    <t>Příjmy z úroků</t>
  </si>
  <si>
    <t>Převody z rozpočtových účtů:</t>
  </si>
  <si>
    <t>Rozpočtové výdaje</t>
  </si>
  <si>
    <t xml:space="preserve">RS </t>
  </si>
  <si>
    <t>Povinné pojistné na zdravotní pojištění</t>
  </si>
  <si>
    <t>Revitalizace říčních systémů a vodních ploch</t>
  </si>
  <si>
    <t>Povinné pojistné na sociální zabezpečení a pol. zaměstn.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</si>
  <si>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</si>
  <si>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</si>
  <si>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</si>
  <si>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</si>
  <si>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</si>
  <si>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</si>
  <si>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Poplatek za lázeňský nebo rekreační pobyt</t>
  </si>
  <si>
    <t>Povinné pojistné na soc. zabezpečení</t>
  </si>
  <si>
    <t>Veřejné osvětlení</t>
  </si>
  <si>
    <t>Dary obyvatelstvu</t>
  </si>
  <si>
    <t>Převody vlastním fondům-převody sociálnímu fondu obcí</t>
  </si>
  <si>
    <t>Povinné pojistné na úrazové pojištění</t>
  </si>
  <si>
    <t>Nájemné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</si>
  <si>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</si>
  <si>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</si>
  <si>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</si>
  <si>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</si>
  <si>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</si>
  <si>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</si>
  <si>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Pohonné hmoty</t>
  </si>
  <si>
    <t>Služby peněžních ústavů (pojištění)</t>
  </si>
  <si>
    <t>Obecné příjmy a výdaje z finančních operací</t>
  </si>
  <si>
    <t xml:space="preserve">Sociální rehabilitace </t>
  </si>
  <si>
    <t>Převody z vlastních rezervních fondů-z fondu Domu s chrán. byty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</si>
  <si>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</si>
  <si>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</si>
  <si>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</si>
  <si>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</si>
  <si>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 xml:space="preserve">RU </t>
  </si>
  <si>
    <t>Příjmy z poskytování služeb a výrobků - knihovna</t>
  </si>
  <si>
    <t>Příjmy z poskytování služeb a výrobků - pohřebnictví</t>
  </si>
  <si>
    <t>Služby školení a vzdělávání - vlastní zdroje MČ</t>
  </si>
  <si>
    <t>Ostatní tělovýchovná činnost</t>
  </si>
  <si>
    <t>Využití volného času dětí a mládeže</t>
  </si>
  <si>
    <t>Pohonné hmoty - fukar</t>
  </si>
  <si>
    <t>Sportovní zařízení v majetku obce - S.K. Slovan Kunratice</t>
  </si>
  <si>
    <t>Knihy, učební pomůcky, tisk - vlastní zdroje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</si>
  <si>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</si>
  <si>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</si>
  <si>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</si>
  <si>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</si>
  <si>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Nájemné (výpůjčka nářadí)</t>
  </si>
  <si>
    <t>Převod do fondu Domu s chráněnými byty</t>
  </si>
  <si>
    <t>Převody vlastním fondům-převod do fondu Domu s chráněnými byty</t>
  </si>
  <si>
    <t>Nákup ostatních služeb-přezkoumání hospodaření</t>
  </si>
  <si>
    <t>Ostatní činnosti související se službami pro obyvatelstvo</t>
  </si>
  <si>
    <t>Náhrady mzdy v době nemoci</t>
  </si>
  <si>
    <t>Ostatní neinvestiční transfery obyvatelstvu-dárkové poukázky jubilantům</t>
  </si>
  <si>
    <t>Nákup ostatních služeb-akce pro obyvatele a drobné služby</t>
  </si>
  <si>
    <t>Nákup ostatních služeb - příspěvek na stravování - sociální fond</t>
  </si>
  <si>
    <t>Nákup ostatních služeb-přezkoumání hospodaření a ost. služby</t>
  </si>
  <si>
    <t>Daň z nemovitých věcí</t>
  </si>
  <si>
    <t>Poštovní služby</t>
  </si>
  <si>
    <t>Neinvestiční příspěvky zřízeným příspěvkovým organizacím: příspěvek MČ</t>
  </si>
  <si>
    <t>Ochranné pomůcky - dotace HMP</t>
  </si>
  <si>
    <t>Pohonné hmoty a maziva  - dotace HMP</t>
  </si>
  <si>
    <t>Opravy a udržování-běžné</t>
  </si>
  <si>
    <t xml:space="preserve">Odměny členů zastupitelstev vč. členů výborů a komisí </t>
  </si>
  <si>
    <t xml:space="preserve">Nákup ostatních služeb -údržba zeleně v obci,výsadba stromů           </t>
  </si>
  <si>
    <t>Městská část Praha KUNRATICE</t>
  </si>
  <si>
    <t>Mateřské školy</t>
  </si>
  <si>
    <t>Nákup ostatních služeb (projekty, vyjádření k sítím..)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</si>
  <si>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</si>
  <si>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</si>
  <si>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</si>
  <si>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</si>
  <si>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</si>
  <si>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</si>
  <si>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</si>
  <si>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</si>
  <si>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</si>
  <si>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</si>
  <si>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Posílení rozpočtu soc. fondu-příjem soc. fondu</t>
  </si>
  <si>
    <t>Převody z vlastních fondů-ze soc. fondu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</si>
  <si>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</si>
  <si>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</si>
  <si>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Přijaté transfery celkem</t>
  </si>
  <si>
    <t>Převody mezi statutátními městy a jejich MČ-transfer ze SR a HMP dotační vztah</t>
  </si>
  <si>
    <t>PŘÍJMY po konsolidaci-bez převodů z vlastních fondů a mezi HMP a MČ)</t>
  </si>
  <si>
    <t>PŘÍJMY z dotačního vztahu (pol. 4137 par. 6330)</t>
  </si>
  <si>
    <t>Opravy a udržování - zámecká zeď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</si>
  <si>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</si>
  <si>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</si>
  <si>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</si>
  <si>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Nákup ostatních služeb - revize hřišť a ostatní drobné služby</t>
  </si>
  <si>
    <t>Opravy a udržování-opravy inventáře</t>
  </si>
  <si>
    <t>Nákup ostatních služeb - dotace HMP</t>
  </si>
  <si>
    <t>Platby daní a poplatků krajům, obcím a st. fondům-správní poplatky katastr. úřad</t>
  </si>
  <si>
    <t>Převody vlastním rozpočtovým účtům:posílení ze soc.fondu</t>
  </si>
  <si>
    <t xml:space="preserve">                                                    posílení z fondu DCHB</t>
  </si>
  <si>
    <t>Převody vlastním fondům a mezi HMP a MČ - konsolidace výdajů celkem (par. 6330)</t>
  </si>
  <si>
    <t>VÝDAJE po konsolidaci bez převodů vlastním fondům a mezi HMP a MČ</t>
  </si>
  <si>
    <t>VÝDAJE z převodů HM Praze (par. 6330 pol. 5347)</t>
  </si>
  <si>
    <t>VÝDAJE CELKEM vč. převodů vlastním fondům a mezi HMP a MČ</t>
  </si>
  <si>
    <t>OBJEM VÝDAJU vč. převodů mezi HMP a MČ</t>
  </si>
  <si>
    <t xml:space="preserve">Výdaje běžné </t>
  </si>
  <si>
    <t>OBJEM VÝDAJU celkem</t>
  </si>
  <si>
    <t>ostatní opravy-techniky, výměna a opravy DZ,</t>
  </si>
  <si>
    <t>Drobný hmotný dlouhodobý majetek - dotace HMP</t>
  </si>
  <si>
    <t xml:space="preserve">Ostatní neinvestiční transfery obyvatelstvu-kulturní akce-zájezdy pro seniory 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</si>
  <si>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</si>
  <si>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</si>
  <si>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</si>
  <si>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>Opravy a udržování - opravy kanalizačních vpustí</t>
  </si>
  <si>
    <t>Nákup ostatních služeb - pasporty meliorační sítě v lokalitě U Rakovky</t>
  </si>
  <si>
    <t>Nákup ostatních služeb (provoz vánočního osvětlení a osvětlení rybníka Ohrada)</t>
  </si>
  <si>
    <t>Převody z vlastních fondů hospodářské činnosti (převod na ZBÚ pro fond DCHB)</t>
  </si>
  <si>
    <t>Opravy a udržování:vysoutěžené opravy výtluků</t>
  </si>
  <si>
    <t>Nákup ostatních služeb: STK, projekty k opravám, výběrové řízení k opravám, autorský dozor k opravám a jiné dodávky prací (vyjádření k sítím, provizorní DZ k akcím,nové DZ,dopravní zrcadla,  posudky a ostatní podklady ke stavu komunikací, projednávání..):</t>
  </si>
  <si>
    <t xml:space="preserve">ostatní opravy komunikací </t>
  </si>
  <si>
    <t xml:space="preserve">Elektrická energie-napájení čerpadla ze studny k přívodu vody do rybníka Ohrada </t>
  </si>
  <si>
    <t>Budovy, haly, stavby - Základní škola:</t>
  </si>
  <si>
    <t>Dary obyvatelstvu-výstavy-houby, jiřiny, kulturní akce</t>
  </si>
  <si>
    <t>Drobný hmotný dlouhodobý majetek-stacionární přístroj Linky tísňového volání</t>
  </si>
  <si>
    <t>Věcné dary-jubileum občana</t>
  </si>
  <si>
    <t>Nákup ostatních služeb- drobné služby</t>
  </si>
  <si>
    <t xml:space="preserve">Opravy a udržování  - vlastní zdroje </t>
  </si>
  <si>
    <t>Požární ochrana dobrovolná část</t>
  </si>
  <si>
    <t>Platby daní a poplatků státnímu rozpočtu-dálniční známka</t>
  </si>
  <si>
    <t>Poskytnuté zálohy vlastní pokladně</t>
  </si>
  <si>
    <t>OBJEM PŘÍJMU - ZDROJE celkem</t>
  </si>
  <si>
    <t>REKAPITULACE</t>
  </si>
  <si>
    <t>FINANCOVÁNÍ z úspor vlastních prostředků z předešlých let    (+) schodek, (-) přebytek</t>
  </si>
  <si>
    <t>Vlastní zdroje:</t>
  </si>
  <si>
    <t>Převody z vlastních fondů hospodářské činnosti-nerozdělený zisk hospodářské činnosti předešlých let</t>
  </si>
  <si>
    <t>ZŠ Kunratice-rozšíření školní jídelny</t>
  </si>
  <si>
    <t>Neinvestiční transfery spolkům</t>
  </si>
  <si>
    <t xml:space="preserve">Ostatní neinv. transfery neziskovým apod. organizacím </t>
  </si>
  <si>
    <t>Neinvestiční transfery církvím a nábožen. společnostem</t>
  </si>
  <si>
    <t>Poskytnuté náhrady-roční poplatek Svazu MČ HMP</t>
  </si>
  <si>
    <t>Základní škola:</t>
  </si>
  <si>
    <t>Drobný hmotný dlouhodobý majetek-spoluúčast k dotaci na kompostéry pro občany - žádost o dotaci SFŽP</t>
  </si>
  <si>
    <t>ROZDÍL PŘÍJMU A VÝDAJU (-) schodek, (+) přebytek</t>
  </si>
  <si>
    <t>Nákup ostatních služeb - vlastní zdroje</t>
  </si>
  <si>
    <t>Programové vybavení</t>
  </si>
  <si>
    <t>Nákup ostatních služeb-drobné služby-vyjádření k sítím a ost.služby (PRE…)</t>
  </si>
  <si>
    <t>Drobný hmotný dlouhodobý majetek - všeobecný -rozpočtové prostředky, ne fond DCHB)</t>
  </si>
  <si>
    <t xml:space="preserve">Opravy a udržování  - dotace HMP </t>
  </si>
  <si>
    <t>Poplatek ze vstupného</t>
  </si>
  <si>
    <t>Přijaté pojistné náhrady</t>
  </si>
  <si>
    <t>Nájemné (umístění výstražného zařízení na sloupech veř. osvětlení)</t>
  </si>
  <si>
    <t>Neinvestiční příspěvky zřízeným příspěvkovým organizacím: spolufinancování MČ v případě získání podpory projektu OPPPR Rozvoj polytechnické výuky a EVVO na MŠ Kunratice</t>
  </si>
  <si>
    <t>Volba prezidenta republiky</t>
  </si>
  <si>
    <t>Ostatní speciální zdravotnická činnost</t>
  </si>
  <si>
    <t>Ing. Lenka Alinčová, starostka MČ Praha Kunratice</t>
  </si>
  <si>
    <t>Budovy, haly, stavby</t>
  </si>
  <si>
    <t>Plošné rekonstrukce komunikací Kunratice</t>
  </si>
  <si>
    <t>Výstavba chodníku ze zámkové dlažby propojujícího ul. Demlova a Technologická</t>
  </si>
  <si>
    <t>Výstavba mlatového chodníku propojujícího obě části ul. Za Bažantnicí</t>
  </si>
  <si>
    <t xml:space="preserve">Neinvestiční příspěvky zřízeným příspěvkovým organizacím: spolufinancování MČ v případě získání podpory projektu OPPPR Zajištění vybavenosti škol pro rozvoj gramotnosti a kompetencí žáků na ZŠ Kunratice </t>
  </si>
  <si>
    <t xml:space="preserve">Věcné dary -ke Dni učitelů (2017 pořízeno 300 ks knih pro 1. třídy) </t>
  </si>
  <si>
    <t xml:space="preserve">Opravy a udržování   </t>
  </si>
  <si>
    <t xml:space="preserve">Nespecifikované rezervy-odvod z her, převod prostředků roku 2017
</t>
  </si>
  <si>
    <t xml:space="preserve">Ostatní neinvestiční transfery neziskovým apod. organizacím </t>
  </si>
  <si>
    <t>Ostatní zájmová činnost a rekreace-vybudování fitparku</t>
  </si>
  <si>
    <t>Neinvestiční transfery obecně prospěšným společnostem</t>
  </si>
  <si>
    <t>Opravy a udržování (zázemí Zámeckého parku Golčova 28)</t>
  </si>
  <si>
    <t xml:space="preserve">Opravy a udržování-oprava vytápění a ohřevu vody, výměna kotle, ostatní opravy </t>
  </si>
  <si>
    <t>Věcné dary-květiny apod. účinkujícím při kulturních pořadech</t>
  </si>
  <si>
    <t xml:space="preserve">Odstupné </t>
  </si>
  <si>
    <t xml:space="preserve">Dary obyvatelstvu </t>
  </si>
  <si>
    <t>Poskytnuté náhrady-svědecká výpověď přestupky (+např.sociální pohřeb)</t>
  </si>
  <si>
    <t>Příjmy z poskytování služeb a výrobků - kultura-Kunratický ples</t>
  </si>
  <si>
    <t>Volba prezidenta ČR 2018</t>
  </si>
  <si>
    <t>Agenda 21 oblast zdraví-Měsíce zdraví v Kunraticích</t>
  </si>
  <si>
    <t>Ostatní speciální zdravotnická péče-Agenda 21 oblast zdraví</t>
  </si>
  <si>
    <t>Věcné dary (dárky účastníkům akcí, květiny, nákup mincí pro vítání občánků)</t>
  </si>
  <si>
    <t>Platby poplatků obcím.., správní poplatek demolice čp. 8</t>
  </si>
  <si>
    <t>Rekonstrukce ZŠ Kunratice stará budova (r. 2017 zateplení, výměna oken a kotlů)</t>
  </si>
  <si>
    <t>ZŠ Kunratice-Dostavba sportovišť v areálu ZŠ Kunratice</t>
  </si>
  <si>
    <t>Služby elektronických komunikací-telefonní poplatky</t>
  </si>
  <si>
    <t>Převody mezi statutárními městy (HMP) a jejich městskými obvody nebo částmi - odvod finančního vypořádání 2017</t>
  </si>
  <si>
    <t>Místní knihovna</t>
  </si>
  <si>
    <t>Drobný hmotný dlouhodobý  majetek, nové vybavení knihovny</t>
  </si>
  <si>
    <t>Drobný hmotný dlouhodobý  majetek, dotace HMP 2017 odvod z her, vybavení knihovny</t>
  </si>
  <si>
    <t>Ostatní přijaté vratky transferů-Základní škola-nevyčerpaná dotace r. 2017-prevence</t>
  </si>
  <si>
    <t>Nákup materiálu-kronika</t>
  </si>
  <si>
    <t>Věcné dary- medaile členům JSDH za aktivní práci</t>
  </si>
  <si>
    <t>Ponechané prostředky dotace HMP</t>
  </si>
  <si>
    <t>Nákup dlouhodobého hmotného majetku-Revitalizace Zelené cesty-Revitalizace rybníka Ohrada - vlastní zdroje</t>
  </si>
  <si>
    <t>Dokončení etapy z roku 2017 vč. doplatku smluvní pozastávky 10%-vlastní zdroje</t>
  </si>
  <si>
    <t>Dokončení etapy z roku 2017 vč. doplatku smluvní pozastávky 10%-ponechané prostředky dotace HMP</t>
  </si>
  <si>
    <t>Nákup dlouhodobého hmotného majetku-Revitalizace Zelené cesty-Revitalizace rybníka Ohrada - ponechané prostředky dotace HMP</t>
  </si>
  <si>
    <t>Nákup dlouhodobého hmotného majetku-Vybudování fitparku-ponechané prostředky dotace HMP</t>
  </si>
  <si>
    <t>Nákup dlouhodobého hmotného majetku-Vybudování fitparku-vlastní zdroje</t>
  </si>
  <si>
    <t>Budovy, haly, stavby-Rekonstrukce hasičské zbrojnice-dostavba hasičské zbrojnice-stavební úpravy nevyužitého podkroví a stávající části objektu HZ - vlastní zdroje</t>
  </si>
  <si>
    <t>Ostatní neinv. transfery neziskovým apod. organizacím -TJ Sokol Kunratice-vlastní zdroje</t>
  </si>
  <si>
    <t>Ostatní neinv. transfery neziskovým apod. organizacím -TJ Sokol Kunratice-dotace z her roku 2018</t>
  </si>
  <si>
    <t>Neinvestiční transfery spolkům - vlastní zdroje</t>
  </si>
  <si>
    <r>
      <t>Neinvestiční transfery spolkům -PC klub pro hendikepované</t>
    </r>
    <r>
      <rPr>
        <b/>
        <sz val="12"/>
        <rFont val="Arial CE"/>
        <charset val="238"/>
      </rPr>
      <t xml:space="preserve"> Křižovatka,</t>
    </r>
    <r>
      <rPr>
        <sz val="12"/>
        <rFont val="Arial CE"/>
        <charset val="238"/>
      </rPr>
      <t xml:space="preserve"> z.s. dotace HMP hry roku 2018</t>
    </r>
  </si>
  <si>
    <r>
      <t>Neinvestiční transfery spolkům -</t>
    </r>
    <r>
      <rPr>
        <b/>
        <sz val="12"/>
        <rFont val="Arial CE"/>
        <charset val="238"/>
      </rPr>
      <t>MO STP Flora</t>
    </r>
    <r>
      <rPr>
        <sz val="12"/>
        <rFont val="Arial CE"/>
        <charset val="238"/>
      </rPr>
      <t xml:space="preserve"> dotace HMP hry r. 2018</t>
    </r>
  </si>
  <si>
    <r>
      <t>Neinvestiční transfery spolkům -</t>
    </r>
    <r>
      <rPr>
        <b/>
        <sz val="12"/>
        <rFont val="Arial CE"/>
        <charset val="238"/>
      </rPr>
      <t>Rehabilitace Hornomlýnská</t>
    </r>
    <r>
      <rPr>
        <sz val="12"/>
        <rFont val="Arial CE"/>
        <charset val="238"/>
      </rPr>
      <t xml:space="preserve"> dotace HMP hry r. 2018</t>
    </r>
  </si>
  <si>
    <t>Neinvestiční transfery obecně prospěšným společnostem-Polovina nebe, o.p.s. dotace HMP hry r. 2018</t>
  </si>
  <si>
    <t>Neinvestiční transfery cizím příspěvkovým organizacím-Thomayerova nemocnice - dotace HMP hry r. 2018</t>
  </si>
  <si>
    <t>Knihy, učební pomůcky, tisk - dotace HMP z her r. 2018</t>
  </si>
  <si>
    <t>Ostatní neinvestiční transfery obyvatelstvu-kulturní akce-zájezdy pro seniory - dotace HMP z her r. 2018</t>
  </si>
  <si>
    <t>Neinvestiční transfery spolkům-z.s.4Students-dotace z her r. 2017</t>
  </si>
  <si>
    <t>Neinvestiční transfery spolkům-s. Tenis Golf Club-dotace z her r. 2017</t>
  </si>
  <si>
    <t>Nákup ostatních služeb - kulturní akce MČ k výročí vzniku republiky</t>
  </si>
  <si>
    <t>Převody mezi statutárními městy (HMP) a jejich městskými obvody nebo částmi - odvod nedočerpané dotace ZŠ 2017 - prevence</t>
  </si>
  <si>
    <t>Zkoušky odborné způsobilosti-ÚMČ</t>
  </si>
  <si>
    <r>
      <t xml:space="preserve">Převody mezi statutátními městy a jejich MČ-transfer z HMP- </t>
    </r>
    <r>
      <rPr>
        <b/>
        <sz val="12"/>
        <rFont val="Arial CE"/>
        <charset val="238"/>
      </rPr>
      <t>neinvestiční dotace HMP:</t>
    </r>
  </si>
  <si>
    <r>
      <t xml:space="preserve">Převody mezi statutátními městy a jejich MČ-transfer z HMP- </t>
    </r>
    <r>
      <rPr>
        <b/>
        <sz val="12"/>
        <rFont val="Arial CE"/>
        <charset val="238"/>
      </rPr>
      <t>investiční dotace HMP:</t>
    </r>
  </si>
  <si>
    <t>Dotace na provoz JSDH</t>
  </si>
  <si>
    <t>Dotace na posílení mzdových prostředků ve školství-MŠ, ZŠ</t>
  </si>
  <si>
    <t>Neinvestiční transfery zřízeným příspěvkovým organizacím-dotace HMP mzdové prostředky</t>
  </si>
  <si>
    <t>Služby školení a vzdělávání - dotace HMP-zkoušky odborné způsobilosti</t>
  </si>
  <si>
    <t>Neinvestiční transfery zřízeným příspěvkovým organizacím- Operační program Praha pól růstu-inkluze cizinců a menšin na ZŠ Kunratice - podíl EU</t>
  </si>
  <si>
    <t>Neinvestiční transfery zřízeným příspěvkovým organizacím- Operační program Praha pól růstu-inkluze cizinců a menšin na ZŠ Kunratice - podíl HMP</t>
  </si>
  <si>
    <t>Ostatní nákupy-akce Do práce na kole</t>
  </si>
  <si>
    <t>Nákup ostatních služeb-Měsíce zdraví v Kunraticích-Divadlo v parku, Babí léto v pohybu-dotace HMP</t>
  </si>
  <si>
    <t xml:space="preserve">                                                - dotace HMP</t>
  </si>
  <si>
    <t>Operační program Praha pól růstu-ZŠ Kunratice-zajištění vybavenosti pro rozvoj gramotnosti - podíl EU neinvestiční část</t>
  </si>
  <si>
    <t>Operační program Praha pól růstu-ZŠ Kunratice-zajištění vybavenosti pro rozvoj gramotnosti -podíl HMP neinvestiční část</t>
  </si>
  <si>
    <t>Operační program Praha pól růstu-ZŠ Kunratice-zajištění vybavenosti pro rozvoj gramotnosti - podíl EU investiční část</t>
  </si>
  <si>
    <t>Operační program Praha pól růstu-ZŠ Kunratice-zajištění vybavenosti pro rozvoj gramotnosti -podíl HMP investiční část</t>
  </si>
  <si>
    <t>Volby do zastupitelstev obcí a Parlamentu ČR</t>
  </si>
  <si>
    <t>daň z hlavní činnosti</t>
  </si>
  <si>
    <t>Ostatní přijaté vratky transferů-TJ Sokol-vratka části dotace roku 2017</t>
  </si>
  <si>
    <t>daň z hospodářské činnosti</t>
  </si>
  <si>
    <t>Vrácený podíl na dani z příjmu za rok 2017:</t>
  </si>
  <si>
    <t xml:space="preserve">Nákup ostatních služeb: zimní údržba komunikací vč. úklidu po zimní údržbě, strojní čištění </t>
  </si>
  <si>
    <t xml:space="preserve">Platby daní a poplatků krajům, obcím a st. fondům-daň z příjmu 2017 z hlavní činnosti </t>
  </si>
  <si>
    <t>Jiné investiční transfery příspěvkovým organizacím-OP PPR zajištění vybavenosti školy pro rozvoj gramotnosti-podíl EU investiční část</t>
  </si>
  <si>
    <t>Jiné investiční transfery příspěvkovým organizacím-OP PPR zajištění vybavenosti školy pro rozvoj gramotnosti-podíl HMP investiční část</t>
  </si>
  <si>
    <t>Nákup ostatních služeb - revize, mytí oken, střihání živých plotů..</t>
  </si>
  <si>
    <t>Stroje, přístroje, zařízení-dva radarové měřiče rychlosti v ul. K Verneráku s fotovoltaickým panelem 150W-bez napájení z veř. osvětlení</t>
  </si>
  <si>
    <t>Platby daní a poplatků státnímu rozpočtu (katastr. úřad, soudní poplatky)</t>
  </si>
  <si>
    <t>Příjem odvodu z výh. automatů aj. her na sport a kulturu, školství, zdravotnictví, sociální oblast-doplatek za rok 2017</t>
  </si>
  <si>
    <t>příjem odvodu z výh. automatů aj. her na sport a kulturu, školství, zdravotnictví, sociální oblast, období 1-6/2018</t>
  </si>
  <si>
    <t>Neinvestiční transfery spolkům-Z.S. Start98 Praha Kunratice-vlastní zdroje</t>
  </si>
  <si>
    <t>Neinvestiční transfery spolkům-Z.S. Start98 Praha Kunratice-dotace HMP hry 2018</t>
  </si>
  <si>
    <t>Ostatní neinvestiční transfery neziskovým apod. organizacím -SK Slovan Kunratice-vlastní zdroje</t>
  </si>
  <si>
    <t>Ostatní neinvestiční transfery neziskovým apod. organizacím -SK Slovan Kunratice-dotace HMP hry 2018</t>
  </si>
  <si>
    <t>Neinvestiční transfery církvím a nábožen. společnostem-dotace na opravu hlavního oltáře kostela sv. jakuba Staršího-vlastní zdroje</t>
  </si>
  <si>
    <t>Nákup dlouhodobého hmotného majetku-hrací prvky na zahradě MŠ-vlastní zdroje</t>
  </si>
  <si>
    <t>Nákup dlouhodobého hmotného majetku-hrací prvky na zahradě MŠ-dotace HMP hry 2018</t>
  </si>
  <si>
    <t>Opravy a udržování-oprava skla protipožárních dveří</t>
  </si>
  <si>
    <t>Neinvestiční transfery zřízeným příspěvkovým organizacím-Šablony MŠ Kunratice-podíl EU</t>
  </si>
  <si>
    <t>Neinvestiční transfery zřízeným příspěvkovým organizacím-Šablony MŠ Kunratice-podíl MŠMT</t>
  </si>
  <si>
    <t>Drobný hmotný dlouhodobý majetek-vybavení denní místnosti ŠJ</t>
  </si>
  <si>
    <t>Nákup materiálu-vybavení denní místnosti ŠJ</t>
  </si>
  <si>
    <t>Neinvestiční transfery zřízeným příspěvkovým organizacím- Operační program Praha pól růstu-zajištění vybavenosti školy pro rozvoj gramotnosti na ZŠ Kunratice - podíl HMP</t>
  </si>
  <si>
    <t xml:space="preserve">Neinvestiční transfery zřízeným příspěvkovým organizacím- Operační program Praha pól růstu-zajištění vybavenosti školy pro rozvoj gramotnosti na ZŠ Kunratice - podíl EU </t>
  </si>
  <si>
    <t>Neinvestiční transfery zřízeným příspěvkovým organizacím-OP PPR podpora integrace žáku s odlišným mateřským jazykem MŠ Kunratice podíl EU</t>
  </si>
  <si>
    <t>Neinvestiční transfery zřízeným příspěvkovým organizacím-OP PPR podpora integrace žáku s odlišným mateřským jazykem MŠ Kunratice podíl HMP</t>
  </si>
  <si>
    <t>Neinvestiční transfery zřízeným příspěvkovým organizacím-OP PPR podpora integrace žáku s odlišným mateřským jazykem ZŠ Kunratice podíl HMP</t>
  </si>
  <si>
    <t>Neinvestiční transfery zřízeným příspěvkovým organizacím-OP PPR podpora integrace žáku s odlišným mateřským jazykem ZŠ Kunratice podíl EU</t>
  </si>
  <si>
    <t>Opravy a udržování-výměna stožárů ochranných sítí na hřišti SK Slovan - dotace z her (převod z r. 2017 239,0 tis., dotace 2018 110,0 tis., vl. zdroje 81,0 tis.)</t>
  </si>
  <si>
    <t xml:space="preserve">Neinvestiční transfery zřízeným příspěvkovým organizacím- Operační program Praha pól růstu 2. část-zajištění vybavenosti školy pro rozvoj gramotnosti na ZŠ Kunratice - podíl EU </t>
  </si>
  <si>
    <t>Neinvestiční transfery zřízeným příspěvkovým organizacím- Operační program Praha pól růstu 2. část-zajištění vybavenosti školy pro rozvoj gramotnosti na ZŠ Kunratice - podíl HMP</t>
  </si>
  <si>
    <t>Jiné investiční transfery příspěvkovým organizacím-OP PPR zajištění vybavenosti školy pro rozvoj gramotnosti 2. část-podíl EU investiční část</t>
  </si>
  <si>
    <t>Jiné investiční transfery příspěvkovým organizacím 2. část-OP PPR zajištění vybavenosti školy pro rozvoj gramotnosti-podíl HMP investiční část</t>
  </si>
  <si>
    <t>Opravy a udržování - zámecká zeď-dotace z her r. 2017, realizace MČ</t>
  </si>
  <si>
    <t>Dary obyvatelstvu -příspěvek v případě účasti na Lince tísňového volání</t>
  </si>
  <si>
    <t>Sankční platby přijaté od jiných subjektů-smluvní pokuty a pokuty z přestupků</t>
  </si>
  <si>
    <t>Přijaté nekapitálové příspěvky a náhrady vč.správních řízení (přeplatky záloh, přestupkové řízení..)</t>
  </si>
  <si>
    <t>Neinvestiční transfery církvím a nábožen. společnostem-dotace na opravu hlavního oltáře kostela sv. Jakuba Staršího-dotace HMP hry 2018</t>
  </si>
  <si>
    <t>Volby  do 1/3 Senátu PČR, ZHMP a zastupitelstev MČ HMP</t>
  </si>
  <si>
    <t xml:space="preserve">Neinvestiční transfery zřízeným příspěvkovým organizacím-Operační program Šablony II Základní škola Kunratice-podíl MŠMT
</t>
  </si>
  <si>
    <t>Neinvestiční transfery zřízeným příspěvkovým organizacím Operační program Šablony II Základní škola Kunratice-podíl HMP</t>
  </si>
  <si>
    <t>Nákup materiálu-pořízení 39 ks židlí do společnýc prostor-ne fond DCHB</t>
  </si>
  <si>
    <t>Nákup ostatních služeb-KZ, kulturní akce…</t>
  </si>
  <si>
    <t>RU 11/2017</t>
  </si>
  <si>
    <t xml:space="preserve"> Skutečnost Kč</t>
  </si>
  <si>
    <t>NÁVRH ROZPOČTU 2019  a  PLNĚNÍ PŘÍJMU A ČERPÁNÍ VÝDAJU 2018</t>
  </si>
  <si>
    <t>11/2018</t>
  </si>
  <si>
    <t>predikce 12/2018</t>
  </si>
  <si>
    <t>Příjmy z poskytování služeb a výrobků - místní správa-úhrada za poskytování informací dle 106/1999 Sb.</t>
  </si>
  <si>
    <t>Převody z vlastních rezervních fondů-z fondu Domu s chráněnými byty</t>
  </si>
  <si>
    <t>Investiční dotace z rezervy rozpočtu HMP 2018-Plošné rekonstrukce komunikací Kunratice</t>
  </si>
  <si>
    <t>Operační program Praha pól růstu-MŠ Kunratice-podpora integrace žáků s odlišným mateřským jazykem-podíl EU a HMP</t>
  </si>
  <si>
    <t>Operační program Praha pól růstu-inkluze cizinců a menšin na ZŠ Kunratice - podíl EU a HMP</t>
  </si>
  <si>
    <t>Operační program Praha pól růstu-ZŠ Kunratice-podpora integrace žáků s odlišným mateřským jazykem-podíl EU a HMP</t>
  </si>
  <si>
    <t>Operační program Šablony II Základní škola Kunratice-podíl MŠMT a HMP</t>
  </si>
  <si>
    <t>Operační program Šablony Mateřská škola Kunratice-podíl MŠMT a HMP</t>
  </si>
  <si>
    <t>II. etapa Rekonstrukce dalších ulic - vlastní zdroje</t>
  </si>
  <si>
    <t>II. etapa Rekonstrukce dalších ulic - dotace HMP z rezervy roku 2018</t>
  </si>
  <si>
    <t>2018 Budovy, haly, stavby-pořízení venkovních žaluzii</t>
  </si>
  <si>
    <t>2019 Budovy, haly, stavby- velká budova MŠ - rekonstrukce kuchyňského výtahu, pořízení žaluzií</t>
  </si>
  <si>
    <t>III. etapa Rekonstrukce dalších ulic - dokumentace-vlastní zdroje</t>
  </si>
  <si>
    <t xml:space="preserve">2018 Nespecifikované rezervy-odvod z her, převod prostředků roku 2017
</t>
  </si>
  <si>
    <t>2018 Budovy, haly, stavby-Rekonstrukce hasičské zbrojnice-dostavba hasičské zbrojnice-stavební úpravy nevyužitého podkroví a stávající části objektu HZ - ponechané prostředky dotace HMP</t>
  </si>
  <si>
    <t>2019 Budovy, haly, stavby-vlastní zdroje-Dostavba garáže hasičské zbrojnice-dokumentace</t>
  </si>
  <si>
    <t>Budovy, haly, stavby-propojení velkého a malého sálu radnice posuvnou stěnou</t>
  </si>
  <si>
    <t>Nákup ostatních služeb: Pořízení služeb k úklidu a drobné údržbě komunikací a přilehlých veřejných prostranství</t>
  </si>
  <si>
    <t>Nákup ostatních služeb: Pořízení součástí dopravního příslušenství (retardéry, zrcadla, bariéry, přenosná značení…)</t>
  </si>
  <si>
    <t>Nákup ostatních služeb: Úprava organizace provozu v přilehlých ulicích základní a mateřské školy-nové dopravní značení vodorovné a svislé, retardéry, ochranná opatření chodců..</t>
  </si>
  <si>
    <t>2019 Nákup ostatních služeb celkem: rozpočet 2 460,0 tis.</t>
  </si>
  <si>
    <t xml:space="preserve">2019 Opravy a udržování celkem: rozpočet 900,0 tis.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</si>
  <si>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Platby daní a poplatků krajům, obcím a st. fondům-správní poplatky </t>
  </si>
  <si>
    <t>Přeložení kabelu CETIN v ul. Netolická v návaznosti na rekonstrukci komunikací</t>
  </si>
  <si>
    <t xml:space="preserve">Ostatní investiční výdaje silnice </t>
  </si>
  <si>
    <t>2018 pořízení komunikací v lok.Na Lhotech, projektová dokumentace pro Parkové úpravy u Tří svatých a Chodník podél zástavby-západní okraj Vídeňská</t>
  </si>
  <si>
    <t>Stroje, přístroje, zařízení-pořízení staršího nákladního auta k potřebám údržby</t>
  </si>
  <si>
    <t>Pořízení dokumentace a poplatků akce "Chodníkový program Kunratice 2019"</t>
  </si>
  <si>
    <t>Nákup ostatních služeb (vyjádření k sítím…)</t>
  </si>
  <si>
    <t>Nákup materiálu a doplňky k vybavení knihovny</t>
  </si>
  <si>
    <t>Neinvestiční transfery obecně prosp. společnostem (2018-Žít spolu, o.p.s.)</t>
  </si>
  <si>
    <t>Neinvestiční transfery spolkům -2018:Záchranná brigáda kynologů Praha (20,0tis.), Český svaz chovatelů (10,0tis.)</t>
  </si>
  <si>
    <t>Drobný hmotný dlouhodobý majetek-lavičky, kontejnery na textil, hrací prvky do 40,0 tis. a ostatní (stojan na kola, lavička kovová…)</t>
  </si>
  <si>
    <t>Nákup ostatních služeb-údržba revitalizovaného území Zelené cesty (r. 2019 je zahrnuto v celkové údržbě)</t>
  </si>
  <si>
    <t>Nákup ostatních služeb -spoluúčast k dotaci  na tvorbu strategických a koncepčních dokumentů MČ (pasportizace stromů)</t>
  </si>
  <si>
    <t>2018 Budovy, haly, stavby-Dokončení revitalizace Zelené cesty-vlastní zdroje</t>
  </si>
  <si>
    <t>2019 Budovy, haly, stavby-Rozšíření zelené plochy před radnicí</t>
  </si>
  <si>
    <t>Nákup dlouhodobého hmotného majetku-nové herní a fitness prvky</t>
  </si>
  <si>
    <t>2019 Nákup ostatních služeb, objekt K Libuši 7, malování,drobné služby, stěhovací služby..</t>
  </si>
  <si>
    <t>Nákup ostatních služeb, objekt Golčova 24, drobné služby, revize (2018 malování)</t>
  </si>
  <si>
    <t>2019 Napojení dešťové kanalizace při ul. Pražského povstání do melioračního kanálu v ul. K Libuši zásahem do komunikace</t>
  </si>
  <si>
    <t>Přijaté neinvestiční dary-dar na rozsvěcení vánočního stromu</t>
  </si>
  <si>
    <t>Drobný hmotný dlouhodobý majetek-stojany na kola, drobné ruční stroje</t>
  </si>
  <si>
    <t>Nákup materiálu-spotřební materiál, náhradní díly, kusový nákup součástí dopravního značení (zrcadla, kužely, sloupky…)</t>
  </si>
  <si>
    <t>2019 Budovy, haly, stavby-nový vrt studny k přívodu vody do rybníka Ohrada</t>
  </si>
  <si>
    <t>Nákup ostatních služeb - hudební produkce na akci Divadlo v parku- (2018 dotace HMP z her r. 2018 )</t>
  </si>
  <si>
    <t>Budovy, haly, stavby-studna na hřišti SK Slovan Kunratice -(2018 dotace HMP odvod z her, převod prostředků roku 2017)</t>
  </si>
  <si>
    <t>Budovy, haly, stavby-studie proveditelnosti rozvoje sportovišť a zázemí  hřiště SK Slovan Kunratice</t>
  </si>
  <si>
    <t>Ostatní neinv. transfery neziskovým apod. organizacím (2018 Junák)</t>
  </si>
  <si>
    <t>Opravy a udržování-opravy polyfunkčních hřišť</t>
  </si>
  <si>
    <t>Neinvestiční transfery cizím příspěvkovým organizacím-zdravotnická zařízení</t>
  </si>
  <si>
    <t>Nákup ostatních služeb: očíslování urnového háje, dokumentace úprav hřbitovní zdi, ostatní služby (2018 stínicí síť na plot)</t>
  </si>
  <si>
    <t>Budovy, haly, stavby-rozšíření kolumbária, rekonstrukce historického žulového hrobu</t>
  </si>
  <si>
    <t>Budovy, haly, stavby-demolice čp. 8 K Libuši, přeložení sítí, bourání, vybudování zpevněné plochy a obrubníků, úprava zeleně</t>
  </si>
  <si>
    <t>Budovy, haly, stavby-obnova -zvýšení kapacity rozvodné skříně vč. přenosného zařízení při čp. 28 k využívání při akcích v Zámeckém parku a na radnici</t>
  </si>
  <si>
    <t>Nákup ostatních služeb (2018 demolice čp. 8 K Libuši)</t>
  </si>
  <si>
    <t>Budovy, haly, stavby - pořízení vnitřních žaluzií do celého domu CHB, průzkumný vrt a rozvod vody trubkami k zavlažování zahrady  (2018 pořízení žaluzií v jedné chodbě budovy)</t>
  </si>
  <si>
    <t>Nákup ostatních služeb - ostraha, úklid, revize, úklid, pracovně lékařské služby, malování, výměna podlahových krytin (2018 zřízení odběrního místa el.en.)</t>
  </si>
  <si>
    <t xml:space="preserve">2018 Opravy a udržování celkem: rozpočet 970,0 tis., skutečnost 721 206,60 Kč k 11/2018                                                                                                                                                                                                                                                  </t>
  </si>
  <si>
    <t>Povinné pojistné na sociální zabezpečení</t>
  </si>
  <si>
    <t>Budovy, haly, stavby-pořízení pozemku při komunikaci Golčova na rohu s ul. Děbolínskou</t>
  </si>
  <si>
    <t xml:space="preserve">Opravy a udržování - oprava hřbitovní zdi a ostatní drobné opravy </t>
  </si>
  <si>
    <t>Stroje, přístroje, zařízení-pořízení klimatizace do objektu pro městskou policii</t>
  </si>
  <si>
    <t>Domovy - Dům s chráněnými byty celkem, v tom zapojení fondu DCHB: rozpočet 2018:582,0 tis., 2019: 1 122,0</t>
  </si>
  <si>
    <t>2019 Výstavba a parkové úpravy u Tří svatých a Chodník podél zástavby při západním okraji ul. Vídeňská</t>
  </si>
  <si>
    <t>Neinvestiční příspěvky zřízeným příspěvkovým organizacím: pravidelný roční příspěvek MČ</t>
  </si>
  <si>
    <t>Neinvestiční příspěvky zřízeným příspěvkovým organizacím: příspěvek MČ jednorázový</t>
  </si>
  <si>
    <t>Opravy a udržování - opravy čp. 7-výměna topných těles, oprava vnitřních prostor radnice, údržba a oprava kašny a ostatní běžné (2018 oprava osvětlení věžních hodin, výměna čerpadla a ohřívače vody, oprava plynového ventilu, opr. venkovní knihovny..)</t>
  </si>
  <si>
    <t xml:space="preserve">2018 Nákup ostatních služeb celkem: rozpočet 1 360,0 tis., skutečnost 850 870,07 Kč k 11/2018                          </t>
  </si>
  <si>
    <t xml:space="preserve">Nákup materiálu  (materiál ke kurzu zdobení pro seniory...) </t>
  </si>
  <si>
    <t xml:space="preserve">
Rozpočet MČ Praha Kunratice na rok 2019 zahrnuje vysoký podíl investičních výdajů zejména na komunikace a další projekty. Rozdíl mezi příjmy a výdaji je vyrovnán úsporami prostředků z hospodaření minulých let 25 274,0 tis. Kč a do rozpočtu je zapojeno 1 122,00 tis. Kč z fondu Domu s chráněnými byty, který je vytvářen z hospodářského výsledku hospodářské činnosti MČ pro potřebu úprav objektu a akcí pro nájemníky. Je zažádáno o několik dotací. MČ nemá uzavřenu žádnou úvěrovou smlouvu ani do budoucna o úvěru neuvažuje.     </t>
  </si>
  <si>
    <t>Návrh byl vyvěšen na úřední desku dne  29. listopadu 2018</t>
  </si>
  <si>
    <t>Návrh byl zveřejněn na elektronické úřední desce www. praha-kunratice.cz dne 29. listopadu 2018</t>
  </si>
  <si>
    <t>Návrh rozpočtu byl schválen usnesením Zastupitelstva MČ Praha Kunratice č. 2.10 dne 17. prosince 2018</t>
  </si>
  <si>
    <t>Rozpočet 2019</t>
  </si>
  <si>
    <t>PŘÍLOHA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</si>
</sst>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sz val="12"/>
      <color indexed="10"/>
      <name val="Arial CE"/>
      <charset val="238"/>
    </font>
    <font>
      <i/>
      <sz val="12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i/>
      <sz val="12"/>
      <color indexed="10"/>
      <name val="Arial CE"/>
      <charset val="238"/>
    </font>
    <font>
      <sz val="12"/>
      <color indexed="10"/>
      <name val="Arial CE"/>
      <charset val="238"/>
    </font>
    <font>
      <sz val="10"/>
      <name val="Arial CE"/>
      <charset val="238"/>
    </font>
    <font>
      <sz val="12"/>
      <color rgb="FFFF0000"/>
      <name val="Arial CE"/>
      <charset val="238"/>
    </font>
    <font>
      <u/>
      <sz val="12"/>
      <name val="Arial CE"/>
      <charset val="238"/>
    </font>
    <font>
      <u/>
      <sz val="10"/>
      <name val="Arial CE"/>
      <charset val="238"/>
    </font>
    <font>
      <u/>
      <sz val="10"/>
      <color theme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Fill="1" applyBorder="1"/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4" fontId="5" fillId="0" borderId="1" xfId="0" applyNumberFormat="1" applyFont="1" applyBorder="1"/>
    <xf numFmtId="4" fontId="8" fillId="0" borderId="0" xfId="0" applyNumberFormat="1" applyFont="1"/>
    <xf numFmtId="0" fontId="6" fillId="2" borderId="3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0" fillId="0" borderId="0" xfId="0" applyNumberFormat="1" applyFont="1" applyBorder="1"/>
    <xf numFmtId="0" fontId="0" fillId="0" borderId="0" xfId="0" applyFill="1"/>
    <xf numFmtId="4" fontId="6" fillId="0" borderId="1" xfId="0" applyNumberFormat="1" applyFont="1" applyFill="1" applyBorder="1"/>
    <xf numFmtId="0" fontId="11" fillId="0" borderId="7" xfId="0" applyFont="1" applyBorder="1" applyAlignment="1">
      <alignment horizontal="center"/>
    </xf>
    <xf numFmtId="0" fontId="11" fillId="0" borderId="0" xfId="0" applyFont="1"/>
    <xf numFmtId="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4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1" fillId="3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wrapText="1"/>
    </xf>
    <xf numFmtId="4" fontId="2" fillId="0" borderId="0" xfId="0" applyNumberFormat="1" applyFont="1"/>
    <xf numFmtId="4" fontId="10" fillId="0" borderId="0" xfId="0" applyNumberFormat="1" applyFont="1"/>
    <xf numFmtId="0" fontId="2" fillId="2" borderId="19" xfId="0" applyFont="1" applyFill="1" applyBorder="1" applyAlignment="1">
      <alignment wrapText="1"/>
    </xf>
    <xf numFmtId="0" fontId="11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wrapText="1"/>
    </xf>
    <xf numFmtId="4" fontId="2" fillId="2" borderId="22" xfId="0" applyNumberFormat="1" applyFont="1" applyFill="1" applyBorder="1"/>
    <xf numFmtId="4" fontId="11" fillId="0" borderId="15" xfId="0" applyNumberFormat="1" applyFont="1" applyBorder="1"/>
    <xf numFmtId="4" fontId="2" fillId="2" borderId="23" xfId="0" applyNumberFormat="1" applyFont="1" applyFill="1" applyBorder="1"/>
    <xf numFmtId="4" fontId="2" fillId="2" borderId="24" xfId="0" applyNumberFormat="1" applyFont="1" applyFill="1" applyBorder="1"/>
    <xf numFmtId="4" fontId="2" fillId="2" borderId="19" xfId="0" applyNumberFormat="1" applyFont="1" applyFill="1" applyBorder="1"/>
    <xf numFmtId="4" fontId="2" fillId="4" borderId="23" xfId="0" applyNumberFormat="1" applyFont="1" applyFill="1" applyBorder="1"/>
    <xf numFmtId="0" fontId="11" fillId="0" borderId="26" xfId="0" applyFont="1" applyBorder="1" applyAlignment="1">
      <alignment horizontal="center"/>
    </xf>
    <xf numFmtId="4" fontId="11" fillId="0" borderId="26" xfId="0" applyNumberFormat="1" applyFont="1" applyBorder="1"/>
    <xf numFmtId="4" fontId="11" fillId="0" borderId="0" xfId="0" applyNumberFormat="1" applyFont="1" applyBorder="1"/>
    <xf numFmtId="0" fontId="11" fillId="0" borderId="0" xfId="0" applyFont="1" applyBorder="1"/>
    <xf numFmtId="0" fontId="2" fillId="2" borderId="3" xfId="0" applyNumberFormat="1" applyFont="1" applyFill="1" applyBorder="1" applyAlignment="1">
      <alignment horizontal="center"/>
    </xf>
    <xf numFmtId="4" fontId="10" fillId="0" borderId="15" xfId="0" applyNumberFormat="1" applyFont="1" applyBorder="1"/>
    <xf numFmtId="4" fontId="10" fillId="0" borderId="1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2" fillId="0" borderId="1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4" fontId="2" fillId="0" borderId="2" xfId="0" applyNumberFormat="1" applyFont="1" applyBorder="1"/>
    <xf numFmtId="4" fontId="11" fillId="0" borderId="5" xfId="0" applyNumberFormat="1" applyFont="1" applyBorder="1"/>
    <xf numFmtId="4" fontId="11" fillId="0" borderId="2" xfId="0" applyNumberFormat="1" applyFont="1" applyBorder="1"/>
    <xf numFmtId="0" fontId="11" fillId="2" borderId="22" xfId="0" applyFont="1" applyFill="1" applyBorder="1" applyAlignment="1">
      <alignment horizontal="center"/>
    </xf>
    <xf numFmtId="4" fontId="2" fillId="2" borderId="19" xfId="0" applyNumberFormat="1" applyFont="1" applyFill="1" applyBorder="1" applyAlignment="1">
      <alignment wrapText="1"/>
    </xf>
    <xf numFmtId="0" fontId="11" fillId="3" borderId="18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2" fillId="3" borderId="19" xfId="0" applyFont="1" applyFill="1" applyBorder="1" applyAlignment="1">
      <alignment wrapText="1"/>
    </xf>
    <xf numFmtId="4" fontId="2" fillId="3" borderId="19" xfId="0" applyNumberFormat="1" applyFont="1" applyFill="1" applyBorder="1"/>
    <xf numFmtId="4" fontId="2" fillId="3" borderId="23" xfId="0" applyNumberFormat="1" applyFont="1" applyFill="1" applyBorder="1"/>
    <xf numFmtId="4" fontId="2" fillId="3" borderId="24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0" fontId="2" fillId="0" borderId="0" xfId="0" applyFont="1" applyBorder="1" applyAlignment="1">
      <alignment wrapText="1"/>
    </xf>
    <xf numFmtId="4" fontId="2" fillId="0" borderId="0" xfId="0" applyNumberFormat="1" applyFont="1" applyBorder="1"/>
    <xf numFmtId="4" fontId="10" fillId="0" borderId="0" xfId="0" applyNumberFormat="1" applyFont="1" applyBorder="1"/>
    <xf numFmtId="0" fontId="1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25" xfId="0" applyFont="1" applyFill="1" applyBorder="1" applyAlignment="1">
      <alignment wrapText="1"/>
    </xf>
    <xf numFmtId="4" fontId="11" fillId="0" borderId="0" xfId="0" applyNumberFormat="1" applyFont="1" applyAlignment="1">
      <alignment horizontal="center"/>
    </xf>
    <xf numFmtId="4" fontId="2" fillId="3" borderId="21" xfId="0" applyNumberFormat="1" applyFont="1" applyFill="1" applyBorder="1"/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14" fillId="0" borderId="0" xfId="0" applyNumberFormat="1" applyFont="1"/>
    <xf numFmtId="0" fontId="13" fillId="0" borderId="0" xfId="0" applyFont="1" applyBorder="1"/>
    <xf numFmtId="4" fontId="15" fillId="0" borderId="0" xfId="0" applyNumberFormat="1" applyFont="1" applyBorder="1"/>
    <xf numFmtId="0" fontId="13" fillId="0" borderId="0" xfId="0" applyFont="1"/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4" fontId="17" fillId="0" borderId="0" xfId="0" applyNumberFormat="1" applyFont="1"/>
    <xf numFmtId="0" fontId="11" fillId="0" borderId="18" xfId="0" applyFont="1" applyBorder="1" applyAlignment="1">
      <alignment horizontal="center"/>
    </xf>
    <xf numFmtId="4" fontId="2" fillId="0" borderId="0" xfId="0" applyNumberFormat="1" applyFont="1" applyAlignment="1">
      <alignment wrapText="1"/>
    </xf>
    <xf numFmtId="4" fontId="0" fillId="0" borderId="0" xfId="0" applyNumberFormat="1" applyFont="1" applyFill="1" applyBorder="1"/>
    <xf numFmtId="4" fontId="11" fillId="0" borderId="0" xfId="0" applyNumberFormat="1" applyFont="1" applyFill="1" applyBorder="1"/>
    <xf numFmtId="0" fontId="11" fillId="0" borderId="30" xfId="0" applyFont="1" applyBorder="1" applyAlignment="1">
      <alignment horizontal="center"/>
    </xf>
    <xf numFmtId="0" fontId="2" fillId="0" borderId="30" xfId="0" applyFont="1" applyBorder="1" applyAlignment="1">
      <alignment wrapText="1"/>
    </xf>
    <xf numFmtId="4" fontId="2" fillId="0" borderId="30" xfId="0" applyNumberFormat="1" applyFont="1" applyBorder="1"/>
    <xf numFmtId="4" fontId="10" fillId="0" borderId="30" xfId="0" applyNumberFormat="1" applyFont="1" applyBorder="1"/>
    <xf numFmtId="4" fontId="15" fillId="0" borderId="30" xfId="0" applyNumberFormat="1" applyFont="1" applyBorder="1"/>
    <xf numFmtId="4" fontId="10" fillId="0" borderId="22" xfId="0" applyNumberFormat="1" applyFont="1" applyBorder="1"/>
    <xf numFmtId="4" fontId="11" fillId="0" borderId="6" xfId="0" applyNumberFormat="1" applyFont="1" applyBorder="1"/>
    <xf numFmtId="4" fontId="0" fillId="0" borderId="0" xfId="0" applyNumberFormat="1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4" fontId="11" fillId="0" borderId="21" xfId="0" applyNumberFormat="1" applyFont="1" applyBorder="1" applyAlignment="1">
      <alignment wrapText="1"/>
    </xf>
    <xf numFmtId="0" fontId="11" fillId="0" borderId="22" xfId="0" applyFont="1" applyBorder="1" applyAlignment="1">
      <alignment horizontal="center"/>
    </xf>
    <xf numFmtId="0" fontId="2" fillId="0" borderId="22" xfId="0" applyFont="1" applyBorder="1" applyAlignment="1">
      <alignment wrapText="1"/>
    </xf>
    <xf numFmtId="4" fontId="2" fillId="0" borderId="22" xfId="0" applyNumberFormat="1" applyFont="1" applyBorder="1"/>
    <xf numFmtId="4" fontId="15" fillId="0" borderId="22" xfId="0" applyNumberFormat="1" applyFont="1" applyBorder="1"/>
    <xf numFmtId="0" fontId="11" fillId="0" borderId="22" xfId="0" applyFont="1" applyBorder="1" applyAlignment="1">
      <alignment wrapText="1"/>
    </xf>
    <xf numFmtId="4" fontId="11" fillId="0" borderId="22" xfId="0" applyNumberFormat="1" applyFont="1" applyBorder="1"/>
    <xf numFmtId="0" fontId="11" fillId="0" borderId="22" xfId="0" applyFont="1" applyBorder="1"/>
    <xf numFmtId="0" fontId="2" fillId="5" borderId="18" xfId="0" applyFont="1" applyFill="1" applyBorder="1" applyAlignment="1">
      <alignment wrapText="1"/>
    </xf>
    <xf numFmtId="4" fontId="2" fillId="5" borderId="19" xfId="0" applyNumberFormat="1" applyFont="1" applyFill="1" applyBorder="1"/>
    <xf numFmtId="4" fontId="4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11" fillId="0" borderId="8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4" fontId="5" fillId="0" borderId="0" xfId="0" applyNumberFormat="1" applyFont="1" applyBorder="1"/>
    <xf numFmtId="4" fontId="6" fillId="0" borderId="1" xfId="0" applyNumberFormat="1" applyFont="1" applyBorder="1"/>
    <xf numFmtId="4" fontId="7" fillId="0" borderId="1" xfId="0" applyNumberFormat="1" applyFont="1" applyBorder="1"/>
    <xf numFmtId="0" fontId="2" fillId="0" borderId="1" xfId="0" applyFont="1" applyBorder="1" applyAlignment="1"/>
    <xf numFmtId="4" fontId="18" fillId="0" borderId="1" xfId="0" applyNumberFormat="1" applyFont="1" applyBorder="1"/>
    <xf numFmtId="0" fontId="11" fillId="0" borderId="31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0" fillId="0" borderId="17" xfId="0" applyFont="1" applyBorder="1" applyAlignment="1">
      <alignment wrapText="1"/>
    </xf>
    <xf numFmtId="4" fontId="10" fillId="0" borderId="17" xfId="0" applyNumberFormat="1" applyFont="1" applyBorder="1"/>
    <xf numFmtId="4" fontId="10" fillId="0" borderId="20" xfId="0" applyNumberFormat="1" applyFont="1" applyBorder="1"/>
    <xf numFmtId="0" fontId="11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wrapText="1"/>
    </xf>
    <xf numFmtId="4" fontId="6" fillId="0" borderId="9" xfId="0" applyNumberFormat="1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4" fontId="2" fillId="4" borderId="24" xfId="0" applyNumberFormat="1" applyFont="1" applyFill="1" applyBorder="1"/>
    <xf numFmtId="0" fontId="2" fillId="0" borderId="28" xfId="0" applyFont="1" applyBorder="1" applyAlignment="1"/>
    <xf numFmtId="4" fontId="2" fillId="0" borderId="28" xfId="0" applyNumberFormat="1" applyFont="1" applyBorder="1"/>
    <xf numFmtId="4" fontId="10" fillId="0" borderId="29" xfId="0" applyNumberFormat="1" applyFont="1" applyBorder="1"/>
    <xf numFmtId="0" fontId="0" fillId="0" borderId="0" xfId="0" applyFont="1" applyBorder="1" applyAlignment="1"/>
    <xf numFmtId="4" fontId="2" fillId="2" borderId="3" xfId="0" applyNumberFormat="1" applyFont="1" applyFill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4" fontId="12" fillId="0" borderId="1" xfId="0" applyNumberFormat="1" applyFont="1" applyBorder="1"/>
    <xf numFmtId="0" fontId="11" fillId="0" borderId="1" xfId="0" applyFont="1" applyBorder="1" applyAlignment="1">
      <alignment vertical="center" wrapText="1"/>
    </xf>
    <xf numFmtId="4" fontId="11" fillId="0" borderId="22" xfId="0" applyNumberFormat="1" applyFont="1" applyBorder="1" applyAlignment="1">
      <alignment wrapText="1"/>
    </xf>
    <xf numFmtId="4" fontId="11" fillId="0" borderId="24" xfId="0" applyNumberFormat="1" applyFont="1" applyBorder="1" applyAlignment="1">
      <alignment wrapText="1"/>
    </xf>
    <xf numFmtId="0" fontId="11" fillId="0" borderId="32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1" fillId="0" borderId="32" xfId="0" applyFont="1" applyBorder="1" applyAlignment="1">
      <alignment wrapText="1"/>
    </xf>
    <xf numFmtId="4" fontId="11" fillId="0" borderId="32" xfId="0" applyNumberFormat="1" applyFont="1" applyBorder="1"/>
    <xf numFmtId="4" fontId="11" fillId="0" borderId="34" xfId="0" applyNumberFormat="1" applyFont="1" applyBorder="1"/>
    <xf numFmtId="0" fontId="11" fillId="0" borderId="35" xfId="0" applyFont="1" applyBorder="1" applyAlignment="1">
      <alignment wrapText="1"/>
    </xf>
    <xf numFmtId="0" fontId="11" fillId="0" borderId="9" xfId="0" applyFont="1" applyBorder="1" applyAlignment="1">
      <alignment wrapText="1"/>
    </xf>
    <xf numFmtId="4" fontId="10" fillId="0" borderId="32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3" xfId="0" applyFont="1" applyBorder="1" applyAlignment="1">
      <alignment wrapText="1"/>
    </xf>
    <xf numFmtId="0" fontId="11" fillId="0" borderId="40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1" fillId="0" borderId="37" xfId="0" applyFont="1" applyBorder="1" applyAlignment="1">
      <alignment vertical="top" wrapText="1"/>
    </xf>
    <xf numFmtId="0" fontId="10" fillId="0" borderId="36" xfId="0" applyFont="1" applyBorder="1" applyAlignment="1">
      <alignment wrapText="1"/>
    </xf>
    <xf numFmtId="0" fontId="12" fillId="0" borderId="37" xfId="0" applyFont="1" applyBorder="1" applyAlignment="1">
      <alignment wrapText="1"/>
    </xf>
    <xf numFmtId="0" fontId="11" fillId="0" borderId="36" xfId="0" applyFont="1" applyBorder="1" applyAlignment="1">
      <alignment horizontal="center" wrapText="1"/>
    </xf>
    <xf numFmtId="0" fontId="12" fillId="0" borderId="36" xfId="0" applyFont="1" applyBorder="1" applyAlignment="1">
      <alignment wrapText="1"/>
    </xf>
    <xf numFmtId="0" fontId="2" fillId="0" borderId="36" xfId="0" applyFont="1" applyFill="1" applyBorder="1" applyAlignment="1">
      <alignment wrapText="1"/>
    </xf>
    <xf numFmtId="0" fontId="11" fillId="0" borderId="37" xfId="0" applyFont="1" applyBorder="1" applyAlignment="1">
      <alignment horizontal="left" wrapText="1"/>
    </xf>
    <xf numFmtId="4" fontId="11" fillId="0" borderId="38" xfId="0" applyNumberFormat="1" applyFont="1" applyBorder="1"/>
    <xf numFmtId="4" fontId="11" fillId="0" borderId="39" xfId="0" applyNumberFormat="1" applyFont="1" applyBorder="1"/>
    <xf numFmtId="4" fontId="2" fillId="0" borderId="32" xfId="0" applyNumberFormat="1" applyFont="1" applyBorder="1"/>
    <xf numFmtId="0" fontId="10" fillId="0" borderId="9" xfId="0" applyFont="1" applyBorder="1" applyAlignment="1">
      <alignment wrapText="1"/>
    </xf>
    <xf numFmtId="0" fontId="11" fillId="0" borderId="37" xfId="0" applyFont="1" applyBorder="1" applyAlignment="1"/>
    <xf numFmtId="0" fontId="11" fillId="0" borderId="33" xfId="0" applyFont="1" applyBorder="1" applyAlignment="1"/>
    <xf numFmtId="0" fontId="11" fillId="0" borderId="1" xfId="0" applyFont="1" applyBorder="1" applyAlignment="1">
      <alignment vertical="top" wrapText="1"/>
    </xf>
    <xf numFmtId="0" fontId="2" fillId="6" borderId="3" xfId="0" applyFont="1" applyFill="1" applyBorder="1" applyAlignment="1">
      <alignment horizontal="center"/>
    </xf>
    <xf numFmtId="4" fontId="2" fillId="6" borderId="4" xfId="0" applyNumberFormat="1" applyFont="1" applyFill="1" applyBorder="1" applyAlignment="1">
      <alignment horizontal="center"/>
    </xf>
    <xf numFmtId="4" fontId="2" fillId="6" borderId="41" xfId="0" applyNumberFormat="1" applyFont="1" applyFill="1" applyBorder="1" applyAlignment="1">
      <alignment horizontal="center"/>
    </xf>
    <xf numFmtId="49" fontId="2" fillId="6" borderId="42" xfId="0" applyNumberFormat="1" applyFont="1" applyFill="1" applyBorder="1" applyAlignment="1">
      <alignment horizontal="center"/>
    </xf>
    <xf numFmtId="4" fontId="6" fillId="6" borderId="3" xfId="0" applyNumberFormat="1" applyFont="1" applyFill="1" applyBorder="1" applyAlignment="1">
      <alignment horizontal="center"/>
    </xf>
    <xf numFmtId="49" fontId="6" fillId="6" borderId="4" xfId="0" applyNumberFormat="1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4" fontId="11" fillId="0" borderId="7" xfId="0" applyNumberFormat="1" applyFont="1" applyBorder="1"/>
    <xf numFmtId="4" fontId="11" fillId="0" borderId="7" xfId="0" applyNumberFormat="1" applyFont="1" applyFill="1" applyBorder="1"/>
    <xf numFmtId="4" fontId="11" fillId="0" borderId="15" xfId="0" applyNumberFormat="1" applyFont="1" applyFill="1" applyBorder="1"/>
    <xf numFmtId="4" fontId="10" fillId="2" borderId="24" xfId="0" applyNumberFormat="1" applyFont="1" applyFill="1" applyBorder="1"/>
    <xf numFmtId="4" fontId="10" fillId="0" borderId="7" xfId="0" applyNumberFormat="1" applyFont="1" applyBorder="1"/>
    <xf numFmtId="4" fontId="2" fillId="2" borderId="25" xfId="0" applyNumberFormat="1" applyFont="1" applyFill="1" applyBorder="1"/>
    <xf numFmtId="4" fontId="10" fillId="0" borderId="31" xfId="0" applyNumberFormat="1" applyFont="1" applyBorder="1"/>
    <xf numFmtId="4" fontId="11" fillId="0" borderId="36" xfId="0" applyNumberFormat="1" applyFont="1" applyBorder="1"/>
    <xf numFmtId="4" fontId="10" fillId="6" borderId="13" xfId="0" applyNumberFormat="1" applyFont="1" applyFill="1" applyBorder="1" applyAlignment="1">
      <alignment horizontal="center"/>
    </xf>
    <xf numFmtId="4" fontId="11" fillId="0" borderId="16" xfId="0" applyNumberFormat="1" applyFont="1" applyFill="1" applyBorder="1"/>
    <xf numFmtId="4" fontId="11" fillId="0" borderId="8" xfId="0" applyNumberFormat="1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4" fontId="10" fillId="6" borderId="43" xfId="0" applyNumberFormat="1" applyFont="1" applyFill="1" applyBorder="1" applyAlignment="1">
      <alignment horizontal="center"/>
    </xf>
    <xf numFmtId="4" fontId="11" fillId="0" borderId="31" xfId="0" applyNumberFormat="1" applyFont="1" applyBorder="1"/>
    <xf numFmtId="4" fontId="20" fillId="0" borderId="7" xfId="0" applyNumberFormat="1" applyFont="1" applyBorder="1"/>
    <xf numFmtId="4" fontId="11" fillId="0" borderId="44" xfId="0" applyNumberFormat="1" applyFont="1" applyBorder="1" applyAlignment="1">
      <alignment wrapText="1"/>
    </xf>
    <xf numFmtId="4" fontId="11" fillId="0" borderId="25" xfId="0" applyNumberFormat="1" applyFont="1" applyBorder="1" applyAlignment="1">
      <alignment wrapText="1"/>
    </xf>
    <xf numFmtId="4" fontId="2" fillId="3" borderId="25" xfId="0" applyNumberFormat="1" applyFont="1" applyFill="1" applyBorder="1"/>
    <xf numFmtId="4" fontId="11" fillId="0" borderId="40" xfId="0" applyNumberFormat="1" applyFont="1" applyBorder="1"/>
    <xf numFmtId="4" fontId="10" fillId="0" borderId="36" xfId="0" applyNumberFormat="1" applyFont="1" applyBorder="1"/>
    <xf numFmtId="4" fontId="13" fillId="0" borderId="36" xfId="0" applyNumberFormat="1" applyFont="1" applyBorder="1"/>
    <xf numFmtId="4" fontId="15" fillId="0" borderId="36" xfId="0" applyNumberFormat="1" applyFont="1" applyBorder="1"/>
    <xf numFmtId="4" fontId="18" fillId="0" borderId="36" xfId="0" applyNumberFormat="1" applyFont="1" applyBorder="1"/>
    <xf numFmtId="4" fontId="2" fillId="0" borderId="36" xfId="0" applyNumberFormat="1" applyFont="1" applyBorder="1"/>
    <xf numFmtId="4" fontId="10" fillId="0" borderId="33" xfId="0" applyNumberFormat="1" applyFont="1" applyBorder="1"/>
    <xf numFmtId="4" fontId="16" fillId="0" borderId="36" xfId="0" applyNumberFormat="1" applyFont="1" applyBorder="1"/>
    <xf numFmtId="4" fontId="13" fillId="0" borderId="45" xfId="0" applyNumberFormat="1" applyFont="1" applyBorder="1"/>
    <xf numFmtId="4" fontId="11" fillId="0" borderId="46" xfId="0" applyNumberFormat="1" applyFont="1" applyBorder="1"/>
    <xf numFmtId="4" fontId="10" fillId="0" borderId="34" xfId="0" applyNumberFormat="1" applyFont="1" applyBorder="1"/>
    <xf numFmtId="4" fontId="11" fillId="0" borderId="47" xfId="0" applyNumberFormat="1" applyFont="1" applyBorder="1"/>
    <xf numFmtId="4" fontId="2" fillId="0" borderId="7" xfId="0" applyNumberFormat="1" applyFont="1" applyBorder="1"/>
    <xf numFmtId="4" fontId="11" fillId="0" borderId="9" xfId="0" applyNumberFormat="1" applyFont="1" applyBorder="1"/>
    <xf numFmtId="4" fontId="11" fillId="0" borderId="14" xfId="0" applyNumberFormat="1" applyFont="1" applyBorder="1"/>
    <xf numFmtId="0" fontId="2" fillId="2" borderId="10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4" fontId="11" fillId="0" borderId="37" xfId="0" applyNumberFormat="1" applyFont="1" applyBorder="1"/>
    <xf numFmtId="4" fontId="11" fillId="0" borderId="8" xfId="0" applyNumberFormat="1" applyFont="1" applyBorder="1"/>
    <xf numFmtId="4" fontId="11" fillId="0" borderId="48" xfId="0" applyNumberFormat="1" applyFont="1" applyBorder="1"/>
    <xf numFmtId="0" fontId="2" fillId="2" borderId="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49" fontId="6" fillId="6" borderId="5" xfId="0" applyNumberFormat="1" applyFont="1" applyFill="1" applyBorder="1" applyAlignment="1">
      <alignment horizontal="center"/>
    </xf>
    <xf numFmtId="4" fontId="10" fillId="6" borderId="4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4" fontId="2" fillId="0" borderId="5" xfId="0" applyNumberFormat="1" applyFont="1" applyFill="1" applyBorder="1"/>
    <xf numFmtId="4" fontId="2" fillId="0" borderId="2" xfId="0" applyNumberFormat="1" applyFont="1" applyFill="1" applyBorder="1"/>
    <xf numFmtId="4" fontId="2" fillId="0" borderId="10" xfId="0" applyNumberFormat="1" applyFont="1" applyFill="1" applyBorder="1"/>
    <xf numFmtId="4" fontId="10" fillId="0" borderId="49" xfId="0" applyNumberFormat="1" applyFont="1" applyFill="1" applyBorder="1"/>
    <xf numFmtId="0" fontId="7" fillId="0" borderId="0" xfId="0" applyFont="1" applyAlignment="1">
      <alignment horizontal="center"/>
    </xf>
    <xf numFmtId="0" fontId="22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9" fillId="3" borderId="0" xfId="0" applyFont="1" applyFill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1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104775</xdr:colOff>
      <xdr:row>2</xdr:row>
      <xdr:rowOff>200025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71913</xdr:colOff>
      <xdr:row>0</xdr:row>
      <xdr:rowOff>-7620</xdr:rowOff>
    </xdr:from>
    <xdr:to>
      <xdr:col>1</xdr:col>
      <xdr:colOff>4286</xdr:colOff>
      <xdr:row>2</xdr:row>
      <xdr:rowOff>121920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" y="-7620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0</xdr:row>
      <xdr:rowOff>47625</xdr:rowOff>
    </xdr:from>
    <xdr:to>
      <xdr:col>1</xdr:col>
      <xdr:colOff>95250</xdr:colOff>
      <xdr:row>3</xdr:row>
      <xdr:rowOff>57150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5" y="47625"/>
          <a:ext cx="5524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zoomScaleNormal="100" workbookViewId="0">
      <selection activeCell="L12" sqref="L12"/>
    </sheetView>
  </sheetViews>
  <sheetFormatPr defaultRowHeight="15" x14ac:dyDescent="0.2"/>
  <cols>
    <col min="1" max="1" width="8.5703125" style="45" customWidth="1"/>
    <col min="2" max="2" width="9.5703125" style="45" customWidth="1"/>
    <col min="3" max="3" width="78.42578125" style="27" customWidth="1"/>
    <col min="4" max="4" width="13.28515625" style="2" customWidth="1"/>
    <col min="5" max="5" width="12.42578125" style="2" customWidth="1"/>
    <col min="6" max="6" width="17.7109375" customWidth="1"/>
    <col min="7" max="7" width="17.7109375" style="23" customWidth="1"/>
    <col min="8" max="8" width="18.7109375" style="61" customWidth="1"/>
    <col min="9" max="9" width="18.7109375" style="134" customWidth="1"/>
    <col min="10" max="10" width="11.7109375" style="135" bestFit="1" customWidth="1"/>
    <col min="11" max="12" width="9.140625" style="135"/>
    <col min="13" max="13" width="13.5703125" style="4" customWidth="1"/>
    <col min="14" max="16" width="9.140625" style="135"/>
  </cols>
  <sheetData>
    <row r="1" spans="1:16" ht="18" x14ac:dyDescent="0.25">
      <c r="A1" s="269" t="s">
        <v>107</v>
      </c>
      <c r="B1" s="269"/>
      <c r="C1" s="269"/>
      <c r="D1" s="269"/>
      <c r="E1" s="269"/>
      <c r="F1" s="269"/>
      <c r="G1" s="270"/>
      <c r="H1" s="270"/>
      <c r="I1" s="270"/>
    </row>
    <row r="2" spans="1:16" ht="18" x14ac:dyDescent="0.25">
      <c r="A2" s="269" t="s">
        <v>313</v>
      </c>
      <c r="B2" s="269"/>
      <c r="C2" s="269"/>
      <c r="D2" s="269"/>
      <c r="E2" s="269"/>
      <c r="F2" s="269"/>
      <c r="G2" s="270"/>
      <c r="H2" s="270"/>
      <c r="I2" s="270"/>
    </row>
    <row r="3" spans="1:16" ht="18" customHeight="1" x14ac:dyDescent="0.25">
      <c r="A3" s="29"/>
      <c r="B3" s="269"/>
      <c r="C3" s="269"/>
      <c r="D3" s="269"/>
      <c r="E3" s="269"/>
      <c r="F3" s="269"/>
      <c r="G3" s="269"/>
      <c r="H3" s="270"/>
      <c r="I3" s="270"/>
    </row>
    <row r="4" spans="1:16" ht="15.75" thickBot="1" x14ac:dyDescent="0.25">
      <c r="A4" s="273" t="s">
        <v>391</v>
      </c>
      <c r="B4" s="274"/>
      <c r="C4" s="31"/>
      <c r="D4" s="4"/>
    </row>
    <row r="5" spans="1:16" ht="15.75" x14ac:dyDescent="0.25">
      <c r="A5" s="32" t="s">
        <v>2</v>
      </c>
      <c r="B5" s="33" t="s">
        <v>1</v>
      </c>
      <c r="C5" s="34" t="s">
        <v>38</v>
      </c>
      <c r="D5" s="16" t="s">
        <v>0</v>
      </c>
      <c r="E5" s="208" t="s">
        <v>311</v>
      </c>
      <c r="F5" s="210" t="s">
        <v>312</v>
      </c>
      <c r="G5" s="212" t="s">
        <v>312</v>
      </c>
      <c r="H5" s="214" t="s">
        <v>390</v>
      </c>
      <c r="I5" s="214" t="s">
        <v>390</v>
      </c>
    </row>
    <row r="6" spans="1:16" ht="16.5" thickBot="1" x14ac:dyDescent="0.3">
      <c r="A6" s="35"/>
      <c r="B6" s="36"/>
      <c r="C6" s="154" t="s">
        <v>39</v>
      </c>
      <c r="D6" s="17" t="s">
        <v>7</v>
      </c>
      <c r="E6" s="209" t="s">
        <v>7</v>
      </c>
      <c r="F6" s="211" t="s">
        <v>314</v>
      </c>
      <c r="G6" s="213" t="s">
        <v>315</v>
      </c>
      <c r="H6" s="226" t="s">
        <v>7</v>
      </c>
      <c r="I6" s="223" t="s">
        <v>7</v>
      </c>
    </row>
    <row r="7" spans="1:16" s="20" customFormat="1" ht="15.75" x14ac:dyDescent="0.25">
      <c r="A7" s="138"/>
      <c r="B7" s="150"/>
      <c r="C7" s="151" t="s">
        <v>110</v>
      </c>
      <c r="D7" s="152"/>
      <c r="E7" s="152"/>
      <c r="F7" s="152"/>
      <c r="G7" s="153"/>
      <c r="H7" s="225"/>
      <c r="I7" s="224"/>
      <c r="J7" s="136"/>
      <c r="K7" s="136"/>
      <c r="L7" s="136"/>
      <c r="M7" s="137"/>
      <c r="N7" s="136"/>
      <c r="O7" s="136"/>
      <c r="P7" s="136"/>
    </row>
    <row r="8" spans="1:16" x14ac:dyDescent="0.2">
      <c r="A8" s="22">
        <v>1341</v>
      </c>
      <c r="B8" s="25"/>
      <c r="C8" s="28" t="s">
        <v>5</v>
      </c>
      <c r="D8" s="24">
        <v>200</v>
      </c>
      <c r="E8" s="24">
        <v>200</v>
      </c>
      <c r="F8" s="24">
        <v>148740.5</v>
      </c>
      <c r="G8" s="24">
        <v>148740.5</v>
      </c>
      <c r="H8" s="215">
        <v>200</v>
      </c>
      <c r="I8" s="53"/>
      <c r="J8" s="113"/>
    </row>
    <row r="9" spans="1:16" x14ac:dyDescent="0.2">
      <c r="A9" s="22">
        <v>1342</v>
      </c>
      <c r="B9" s="25"/>
      <c r="C9" s="28" t="s">
        <v>54</v>
      </c>
      <c r="D9" s="24">
        <v>150</v>
      </c>
      <c r="E9" s="24">
        <v>150</v>
      </c>
      <c r="F9" s="24">
        <v>169927.5</v>
      </c>
      <c r="G9" s="24">
        <v>169927.5</v>
      </c>
      <c r="H9" s="215">
        <v>150</v>
      </c>
      <c r="I9" s="53"/>
      <c r="J9" s="113"/>
    </row>
    <row r="10" spans="1:16" x14ac:dyDescent="0.2">
      <c r="A10" s="22">
        <v>1343</v>
      </c>
      <c r="B10" s="25"/>
      <c r="C10" s="28" t="s">
        <v>6</v>
      </c>
      <c r="D10" s="24">
        <v>200</v>
      </c>
      <c r="E10" s="24">
        <v>200</v>
      </c>
      <c r="F10" s="24">
        <v>164453.1</v>
      </c>
      <c r="G10" s="24">
        <v>164453.1</v>
      </c>
      <c r="H10" s="215">
        <v>200</v>
      </c>
      <c r="I10" s="53"/>
    </row>
    <row r="11" spans="1:16" x14ac:dyDescent="0.2">
      <c r="A11" s="22">
        <v>1344</v>
      </c>
      <c r="B11" s="25"/>
      <c r="C11" s="28" t="s">
        <v>186</v>
      </c>
      <c r="D11" s="24">
        <v>0</v>
      </c>
      <c r="E11" s="24">
        <v>12.8</v>
      </c>
      <c r="F11" s="24">
        <v>28463.4</v>
      </c>
      <c r="G11" s="24">
        <v>28463.4</v>
      </c>
      <c r="H11" s="215">
        <v>20</v>
      </c>
      <c r="I11" s="53"/>
    </row>
    <row r="12" spans="1:16" x14ac:dyDescent="0.2">
      <c r="A12" s="22">
        <v>1345</v>
      </c>
      <c r="B12" s="25"/>
      <c r="C12" s="28" t="s">
        <v>40</v>
      </c>
      <c r="D12" s="24">
        <v>10</v>
      </c>
      <c r="E12" s="24">
        <v>10</v>
      </c>
      <c r="F12" s="24">
        <v>2064</v>
      </c>
      <c r="G12" s="24">
        <v>2064</v>
      </c>
      <c r="H12" s="215">
        <v>5</v>
      </c>
      <c r="I12" s="53"/>
      <c r="J12" s="4"/>
    </row>
    <row r="13" spans="1:16" x14ac:dyDescent="0.2">
      <c r="A13" s="22">
        <v>1361</v>
      </c>
      <c r="B13" s="25"/>
      <c r="C13" s="28" t="s">
        <v>4</v>
      </c>
      <c r="D13" s="24">
        <v>130</v>
      </c>
      <c r="E13" s="24">
        <v>130</v>
      </c>
      <c r="F13" s="24">
        <v>130820</v>
      </c>
      <c r="G13" s="24">
        <v>135000</v>
      </c>
      <c r="H13" s="215">
        <v>130</v>
      </c>
      <c r="I13" s="53"/>
    </row>
    <row r="14" spans="1:16" x14ac:dyDescent="0.2">
      <c r="A14" s="22">
        <v>1511</v>
      </c>
      <c r="B14" s="25"/>
      <c r="C14" s="28" t="s">
        <v>99</v>
      </c>
      <c r="D14" s="24">
        <v>8000</v>
      </c>
      <c r="E14" s="24">
        <v>8000</v>
      </c>
      <c r="F14" s="24">
        <v>7080366.0800000001</v>
      </c>
      <c r="G14" s="24">
        <v>8000000</v>
      </c>
      <c r="H14" s="215">
        <v>8000</v>
      </c>
      <c r="I14" s="53"/>
    </row>
    <row r="15" spans="1:16" s="8" customFormat="1" ht="15.75" x14ac:dyDescent="0.25">
      <c r="A15" s="22"/>
      <c r="B15" s="25"/>
      <c r="C15" s="67" t="s">
        <v>111</v>
      </c>
      <c r="D15" s="68">
        <f>SUM(D8:D14)</f>
        <v>8690</v>
      </c>
      <c r="E15" s="68">
        <f>SUM(E8:E14)</f>
        <v>8702.7999999999993</v>
      </c>
      <c r="F15" s="68">
        <f>SUM(F8:F14)</f>
        <v>7724834.5800000001</v>
      </c>
      <c r="G15" s="63">
        <f>SUM(G8:G14)</f>
        <v>8648648.5</v>
      </c>
      <c r="H15" s="219">
        <f>SUM(H8:H14)</f>
        <v>8705</v>
      </c>
      <c r="I15" s="63">
        <f>H15</f>
        <v>8705</v>
      </c>
      <c r="J15" s="134"/>
      <c r="K15" s="134"/>
      <c r="L15" s="134"/>
      <c r="M15" s="134"/>
      <c r="N15" s="134"/>
      <c r="O15" s="134"/>
      <c r="P15" s="134"/>
    </row>
    <row r="16" spans="1:16" x14ac:dyDescent="0.2">
      <c r="A16" s="22"/>
      <c r="B16" s="25"/>
      <c r="C16" s="28"/>
      <c r="D16" s="14"/>
      <c r="E16" s="14"/>
      <c r="F16" s="14"/>
      <c r="G16" s="53"/>
      <c r="H16" s="215"/>
      <c r="I16" s="53"/>
    </row>
    <row r="17" spans="1:16" ht="15.75" x14ac:dyDescent="0.25">
      <c r="A17" s="22"/>
      <c r="B17" s="25"/>
      <c r="C17" s="67" t="s">
        <v>112</v>
      </c>
      <c r="D17" s="14"/>
      <c r="E17" s="14"/>
      <c r="F17" s="14"/>
      <c r="G17" s="53"/>
      <c r="H17" s="215"/>
      <c r="I17" s="53"/>
    </row>
    <row r="18" spans="1:16" x14ac:dyDescent="0.2">
      <c r="A18" s="22">
        <v>2111</v>
      </c>
      <c r="B18" s="25">
        <v>3314</v>
      </c>
      <c r="C18" s="28" t="s">
        <v>77</v>
      </c>
      <c r="D18" s="24">
        <v>10</v>
      </c>
      <c r="E18" s="24">
        <v>10</v>
      </c>
      <c r="F18" s="24">
        <v>12450</v>
      </c>
      <c r="G18" s="24">
        <v>12450</v>
      </c>
      <c r="H18" s="215">
        <v>12</v>
      </c>
      <c r="I18" s="53"/>
    </row>
    <row r="19" spans="1:16" x14ac:dyDescent="0.2">
      <c r="A19" s="22">
        <v>2111</v>
      </c>
      <c r="B19" s="25">
        <v>3319</v>
      </c>
      <c r="C19" s="28" t="s">
        <v>210</v>
      </c>
      <c r="D19" s="24">
        <v>0</v>
      </c>
      <c r="E19" s="24">
        <v>28.7</v>
      </c>
      <c r="F19" s="24">
        <v>28750</v>
      </c>
      <c r="G19" s="24">
        <v>28750</v>
      </c>
      <c r="H19" s="215">
        <v>25</v>
      </c>
      <c r="I19" s="53"/>
    </row>
    <row r="20" spans="1:16" x14ac:dyDescent="0.2">
      <c r="A20" s="22">
        <v>2111</v>
      </c>
      <c r="B20" s="25">
        <v>3632</v>
      </c>
      <c r="C20" s="28" t="s">
        <v>78</v>
      </c>
      <c r="D20" s="24">
        <v>10</v>
      </c>
      <c r="E20" s="24">
        <v>10</v>
      </c>
      <c r="F20" s="24">
        <v>11675</v>
      </c>
      <c r="G20" s="24">
        <v>11675</v>
      </c>
      <c r="H20" s="215">
        <v>10</v>
      </c>
      <c r="I20" s="53"/>
    </row>
    <row r="21" spans="1:16" ht="30" x14ac:dyDescent="0.2">
      <c r="A21" s="22">
        <v>2111</v>
      </c>
      <c r="B21" s="25">
        <v>6171</v>
      </c>
      <c r="C21" s="28" t="s">
        <v>316</v>
      </c>
      <c r="D21" s="24">
        <v>2</v>
      </c>
      <c r="E21" s="24">
        <v>2</v>
      </c>
      <c r="F21" s="24">
        <v>0</v>
      </c>
      <c r="G21" s="24">
        <v>0</v>
      </c>
      <c r="H21" s="215">
        <v>2</v>
      </c>
      <c r="I21" s="53"/>
    </row>
    <row r="22" spans="1:16" x14ac:dyDescent="0.2">
      <c r="A22" s="22">
        <v>2112</v>
      </c>
      <c r="B22" s="25">
        <v>3319</v>
      </c>
      <c r="C22" s="28" t="s">
        <v>86</v>
      </c>
      <c r="D22" s="24">
        <v>2</v>
      </c>
      <c r="E22" s="24">
        <v>2</v>
      </c>
      <c r="F22" s="24">
        <v>897</v>
      </c>
      <c r="G22" s="24">
        <v>897</v>
      </c>
      <c r="H22" s="215">
        <v>2</v>
      </c>
      <c r="I22" s="53"/>
    </row>
    <row r="23" spans="1:16" x14ac:dyDescent="0.2">
      <c r="A23" s="22">
        <v>2141</v>
      </c>
      <c r="B23" s="25">
        <v>6310</v>
      </c>
      <c r="C23" s="28" t="s">
        <v>41</v>
      </c>
      <c r="D23" s="24">
        <v>8</v>
      </c>
      <c r="E23" s="24">
        <v>8</v>
      </c>
      <c r="F23" s="24">
        <v>57469.9</v>
      </c>
      <c r="G23" s="24">
        <f>57469.9+7000+6000</f>
        <v>70469.899999999994</v>
      </c>
      <c r="H23" s="215">
        <v>60</v>
      </c>
      <c r="I23" s="53"/>
    </row>
    <row r="24" spans="1:16" ht="22.5" customHeight="1" x14ac:dyDescent="0.2">
      <c r="A24" s="22">
        <v>2212</v>
      </c>
      <c r="B24" s="25">
        <v>6171</v>
      </c>
      <c r="C24" s="28" t="s">
        <v>303</v>
      </c>
      <c r="D24" s="24">
        <v>0</v>
      </c>
      <c r="E24" s="24">
        <v>42.6</v>
      </c>
      <c r="F24" s="24">
        <v>50100</v>
      </c>
      <c r="G24" s="24">
        <v>50100</v>
      </c>
      <c r="H24" s="215">
        <v>10</v>
      </c>
      <c r="I24" s="53"/>
    </row>
    <row r="25" spans="1:16" ht="30" x14ac:dyDescent="0.2">
      <c r="A25" s="22">
        <v>2229</v>
      </c>
      <c r="B25" s="25">
        <v>3113</v>
      </c>
      <c r="C25" s="28" t="s">
        <v>223</v>
      </c>
      <c r="D25" s="24">
        <v>0</v>
      </c>
      <c r="E25" s="24">
        <v>15</v>
      </c>
      <c r="F25" s="24">
        <v>15000</v>
      </c>
      <c r="G25" s="24">
        <v>15000</v>
      </c>
      <c r="H25" s="215">
        <v>0</v>
      </c>
      <c r="I25" s="53"/>
    </row>
    <row r="26" spans="1:16" ht="18.75" customHeight="1" x14ac:dyDescent="0.2">
      <c r="A26" s="22">
        <v>2229</v>
      </c>
      <c r="B26" s="25">
        <v>3419</v>
      </c>
      <c r="C26" s="28" t="s">
        <v>266</v>
      </c>
      <c r="D26" s="24">
        <v>0</v>
      </c>
      <c r="E26" s="24">
        <v>39.700000000000003</v>
      </c>
      <c r="F26" s="24">
        <v>39741</v>
      </c>
      <c r="G26" s="24">
        <v>39741</v>
      </c>
      <c r="H26" s="215">
        <v>0</v>
      </c>
      <c r="I26" s="53"/>
    </row>
    <row r="27" spans="1:16" x14ac:dyDescent="0.2">
      <c r="A27" s="22">
        <v>2322</v>
      </c>
      <c r="B27" s="25">
        <v>6171</v>
      </c>
      <c r="C27" s="28" t="s">
        <v>187</v>
      </c>
      <c r="D27" s="24">
        <v>0</v>
      </c>
      <c r="E27" s="24">
        <v>105.8</v>
      </c>
      <c r="F27" s="24">
        <v>29745</v>
      </c>
      <c r="G27" s="24">
        <v>29745</v>
      </c>
      <c r="H27" s="215">
        <v>75</v>
      </c>
      <c r="I27" s="53"/>
    </row>
    <row r="28" spans="1:16" x14ac:dyDescent="0.2">
      <c r="A28" s="22">
        <v>2321</v>
      </c>
      <c r="B28" s="25">
        <v>3319</v>
      </c>
      <c r="C28" s="28" t="s">
        <v>357</v>
      </c>
      <c r="D28" s="24">
        <v>0</v>
      </c>
      <c r="E28" s="24">
        <v>0</v>
      </c>
      <c r="F28" s="24">
        <v>10000</v>
      </c>
      <c r="G28" s="24">
        <v>10000</v>
      </c>
      <c r="H28" s="215"/>
      <c r="I28" s="53"/>
    </row>
    <row r="29" spans="1:16" ht="30" x14ac:dyDescent="0.2">
      <c r="A29" s="22">
        <v>2324</v>
      </c>
      <c r="B29" s="25">
        <v>6171</v>
      </c>
      <c r="C29" s="28" t="s">
        <v>304</v>
      </c>
      <c r="D29" s="24">
        <v>150</v>
      </c>
      <c r="E29" s="24">
        <v>150</v>
      </c>
      <c r="F29" s="24">
        <v>114967</v>
      </c>
      <c r="G29" s="24">
        <v>114967</v>
      </c>
      <c r="H29" s="215">
        <v>100</v>
      </c>
      <c r="I29" s="53"/>
    </row>
    <row r="30" spans="1:16" ht="15.75" x14ac:dyDescent="0.25">
      <c r="A30" s="22"/>
      <c r="B30" s="25"/>
      <c r="C30" s="67" t="s">
        <v>113</v>
      </c>
      <c r="D30" s="68">
        <f>SUM(D18:D29)</f>
        <v>182</v>
      </c>
      <c r="E30" s="68">
        <f>SUM(E18:E29)</f>
        <v>413.8</v>
      </c>
      <c r="F30" s="68">
        <f>SUM(F18:F29)</f>
        <v>370794.9</v>
      </c>
      <c r="G30" s="63">
        <f>SUM(G18:G29)</f>
        <v>383794.9</v>
      </c>
      <c r="H30" s="219">
        <f>SUM(H18:H29)</f>
        <v>296</v>
      </c>
      <c r="I30" s="63">
        <f>H30</f>
        <v>296</v>
      </c>
    </row>
    <row r="31" spans="1:16" ht="15.75" x14ac:dyDescent="0.25">
      <c r="A31" s="22"/>
      <c r="B31" s="25"/>
      <c r="C31" s="67"/>
      <c r="D31" s="141"/>
      <c r="E31" s="142"/>
      <c r="F31" s="142"/>
      <c r="G31" s="53"/>
      <c r="H31" s="215"/>
      <c r="I31" s="53"/>
    </row>
    <row r="32" spans="1:16" s="23" customFormat="1" ht="15.75" x14ac:dyDescent="0.25">
      <c r="A32" s="22"/>
      <c r="B32" s="25"/>
      <c r="C32" s="72" t="s">
        <v>115</v>
      </c>
      <c r="D32" s="64"/>
      <c r="E32" s="64"/>
      <c r="F32" s="64"/>
      <c r="G32" s="53"/>
      <c r="H32" s="215"/>
      <c r="I32" s="53"/>
      <c r="J32" s="61"/>
      <c r="K32" s="61"/>
      <c r="L32" s="61"/>
      <c r="M32" s="60"/>
      <c r="N32" s="61"/>
      <c r="O32" s="61"/>
      <c r="P32" s="61"/>
    </row>
    <row r="33" spans="1:13" ht="30" x14ac:dyDescent="0.2">
      <c r="A33" s="22">
        <v>4131</v>
      </c>
      <c r="B33" s="25">
        <v>6330</v>
      </c>
      <c r="C33" s="28" t="s">
        <v>172</v>
      </c>
      <c r="D33" s="24">
        <v>10000</v>
      </c>
      <c r="E33" s="24">
        <f>10000</f>
        <v>10000</v>
      </c>
      <c r="F33" s="24">
        <v>0</v>
      </c>
      <c r="G33" s="24">
        <v>0</v>
      </c>
      <c r="H33" s="215">
        <v>0</v>
      </c>
      <c r="I33" s="53"/>
    </row>
    <row r="34" spans="1:13" ht="30" x14ac:dyDescent="0.2">
      <c r="A34" s="22">
        <v>4131</v>
      </c>
      <c r="B34" s="25">
        <v>6330</v>
      </c>
      <c r="C34" s="28" t="s">
        <v>154</v>
      </c>
      <c r="D34" s="24">
        <v>0</v>
      </c>
      <c r="E34" s="24">
        <v>1300</v>
      </c>
      <c r="F34" s="24">
        <v>1300000</v>
      </c>
      <c r="G34" s="24">
        <v>1300000</v>
      </c>
      <c r="H34" s="215">
        <v>0</v>
      </c>
      <c r="I34" s="53"/>
    </row>
    <row r="35" spans="1:13" s="135" customFormat="1" x14ac:dyDescent="0.2">
      <c r="A35" s="22">
        <v>4133</v>
      </c>
      <c r="B35" s="25">
        <v>6330</v>
      </c>
      <c r="C35" s="28" t="s">
        <v>317</v>
      </c>
      <c r="D35" s="24">
        <v>582</v>
      </c>
      <c r="E35" s="24">
        <v>582</v>
      </c>
      <c r="F35" s="24">
        <v>232592.92</v>
      </c>
      <c r="G35" s="24">
        <v>232592.92</v>
      </c>
      <c r="H35" s="215">
        <v>1122</v>
      </c>
      <c r="I35" s="53"/>
      <c r="M35" s="4"/>
    </row>
    <row r="36" spans="1:13" s="135" customFormat="1" x14ac:dyDescent="0.2">
      <c r="A36" s="22">
        <v>4134</v>
      </c>
      <c r="B36" s="25">
        <v>6330</v>
      </c>
      <c r="C36" s="28" t="s">
        <v>42</v>
      </c>
      <c r="D36" s="24"/>
      <c r="E36" s="24"/>
      <c r="F36" s="24"/>
      <c r="G36" s="24"/>
      <c r="H36" s="215"/>
      <c r="I36" s="53"/>
      <c r="M36" s="4"/>
    </row>
    <row r="37" spans="1:13" s="135" customFormat="1" x14ac:dyDescent="0.2">
      <c r="A37" s="69"/>
      <c r="B37" s="73"/>
      <c r="C37" s="74" t="s">
        <v>120</v>
      </c>
      <c r="D37" s="24">
        <v>300</v>
      </c>
      <c r="E37" s="24">
        <v>300</v>
      </c>
      <c r="F37" s="24">
        <v>221163</v>
      </c>
      <c r="G37" s="24">
        <v>221163</v>
      </c>
      <c r="H37" s="215">
        <v>300</v>
      </c>
      <c r="I37" s="53"/>
      <c r="M37" s="4"/>
    </row>
    <row r="38" spans="1:13" s="135" customFormat="1" x14ac:dyDescent="0.2">
      <c r="A38" s="69"/>
      <c r="B38" s="73"/>
      <c r="C38" s="74" t="s">
        <v>90</v>
      </c>
      <c r="D38" s="24">
        <v>0</v>
      </c>
      <c r="E38" s="24">
        <v>1300</v>
      </c>
      <c r="F38" s="24">
        <v>1300000</v>
      </c>
      <c r="G38" s="24">
        <v>1300000</v>
      </c>
      <c r="H38" s="215">
        <v>0</v>
      </c>
      <c r="I38" s="53"/>
      <c r="M38" s="4"/>
    </row>
    <row r="39" spans="1:13" s="135" customFormat="1" x14ac:dyDescent="0.2">
      <c r="A39" s="22">
        <v>4139</v>
      </c>
      <c r="B39" s="25">
        <v>6330</v>
      </c>
      <c r="C39" s="28" t="s">
        <v>121</v>
      </c>
      <c r="D39" s="24">
        <v>365</v>
      </c>
      <c r="E39" s="24">
        <v>365</v>
      </c>
      <c r="F39" s="24">
        <v>229984</v>
      </c>
      <c r="G39" s="24">
        <v>229984</v>
      </c>
      <c r="H39" s="215">
        <v>346.5</v>
      </c>
      <c r="I39" s="53"/>
      <c r="M39" s="4"/>
    </row>
    <row r="40" spans="1:13" s="135" customFormat="1" ht="30" x14ac:dyDescent="0.2">
      <c r="A40" s="22">
        <v>4137</v>
      </c>
      <c r="B40" s="25">
        <v>6330</v>
      </c>
      <c r="C40" s="28" t="s">
        <v>122</v>
      </c>
      <c r="D40" s="24">
        <v>266</v>
      </c>
      <c r="E40" s="24">
        <v>266</v>
      </c>
      <c r="F40" s="24">
        <f>22000+22000+22000+22000+22000+22000+22000+22000+22000+22000</f>
        <v>220000</v>
      </c>
      <c r="G40" s="24">
        <v>266000</v>
      </c>
      <c r="H40" s="215">
        <v>298</v>
      </c>
      <c r="I40" s="53"/>
      <c r="M40" s="4"/>
    </row>
    <row r="41" spans="1:13" s="135" customFormat="1" ht="30" x14ac:dyDescent="0.2">
      <c r="A41" s="22">
        <v>4137</v>
      </c>
      <c r="B41" s="25">
        <v>6330</v>
      </c>
      <c r="C41" s="28" t="s">
        <v>123</v>
      </c>
      <c r="D41" s="24">
        <v>39741</v>
      </c>
      <c r="E41" s="24">
        <v>39741</v>
      </c>
      <c r="F41" s="24">
        <f>3312000+3312000+3312000+3312000+3312000+3312000+3312000+3312000+3312000+3312000+3312000+22000</f>
        <v>36454000</v>
      </c>
      <c r="G41" s="24">
        <v>39741000</v>
      </c>
      <c r="H41" s="215">
        <v>44832</v>
      </c>
      <c r="I41" s="53"/>
      <c r="J41" s="4"/>
      <c r="M41" s="4"/>
    </row>
    <row r="42" spans="1:13" s="135" customFormat="1" ht="31.5" x14ac:dyDescent="0.25">
      <c r="A42" s="22"/>
      <c r="B42" s="25"/>
      <c r="C42" s="28" t="s">
        <v>249</v>
      </c>
      <c r="D42" s="24"/>
      <c r="E42" s="24"/>
      <c r="F42" s="24"/>
      <c r="G42" s="24"/>
      <c r="H42" s="215"/>
      <c r="I42" s="53"/>
      <c r="M42" s="4"/>
    </row>
    <row r="43" spans="1:13" s="135" customFormat="1" x14ac:dyDescent="0.2">
      <c r="A43" s="22">
        <v>4137</v>
      </c>
      <c r="B43" s="25">
        <v>6330</v>
      </c>
      <c r="C43" s="28" t="s">
        <v>211</v>
      </c>
      <c r="D43" s="24">
        <v>0</v>
      </c>
      <c r="E43" s="24">
        <v>211</v>
      </c>
      <c r="F43" s="24">
        <v>211002</v>
      </c>
      <c r="G43" s="24">
        <v>211002</v>
      </c>
      <c r="H43" s="215">
        <v>0</v>
      </c>
      <c r="I43" s="53"/>
      <c r="M43" s="4"/>
    </row>
    <row r="44" spans="1:13" s="135" customFormat="1" x14ac:dyDescent="0.2">
      <c r="A44" s="22">
        <v>4137</v>
      </c>
      <c r="B44" s="25">
        <v>6330</v>
      </c>
      <c r="C44" s="28" t="s">
        <v>212</v>
      </c>
      <c r="D44" s="24">
        <v>0</v>
      </c>
      <c r="E44" s="24">
        <v>288</v>
      </c>
      <c r="F44" s="24">
        <v>288000</v>
      </c>
      <c r="G44" s="24">
        <v>288000</v>
      </c>
      <c r="H44" s="215">
        <v>0</v>
      </c>
      <c r="I44" s="53"/>
      <c r="M44" s="4"/>
    </row>
    <row r="45" spans="1:13" s="135" customFormat="1" x14ac:dyDescent="0.2">
      <c r="A45" s="22">
        <v>4137</v>
      </c>
      <c r="B45" s="25">
        <v>6330</v>
      </c>
      <c r="C45" s="28" t="s">
        <v>220</v>
      </c>
      <c r="D45" s="24">
        <v>0</v>
      </c>
      <c r="E45" s="24">
        <v>15.4</v>
      </c>
      <c r="F45" s="24">
        <v>15400</v>
      </c>
      <c r="G45" s="24">
        <v>15400</v>
      </c>
      <c r="H45" s="215">
        <v>0</v>
      </c>
      <c r="I45" s="53"/>
      <c r="M45" s="4"/>
    </row>
    <row r="46" spans="1:13" s="135" customFormat="1" ht="30" x14ac:dyDescent="0.2">
      <c r="A46" s="22">
        <v>4137</v>
      </c>
      <c r="B46" s="25">
        <v>6330</v>
      </c>
      <c r="C46" s="28" t="s">
        <v>276</v>
      </c>
      <c r="D46" s="24">
        <v>0</v>
      </c>
      <c r="E46" s="24">
        <v>440</v>
      </c>
      <c r="F46" s="24">
        <v>440000</v>
      </c>
      <c r="G46" s="24">
        <v>440000</v>
      </c>
      <c r="H46" s="215">
        <v>0</v>
      </c>
      <c r="I46" s="53"/>
      <c r="M46" s="4"/>
    </row>
    <row r="47" spans="1:13" s="135" customFormat="1" ht="30" x14ac:dyDescent="0.2">
      <c r="A47" s="22">
        <v>4137</v>
      </c>
      <c r="B47" s="170">
        <v>6330</v>
      </c>
      <c r="C47" s="172" t="s">
        <v>277</v>
      </c>
      <c r="D47" s="24">
        <v>0</v>
      </c>
      <c r="E47" s="24">
        <v>779</v>
      </c>
      <c r="F47" s="24">
        <v>779000</v>
      </c>
      <c r="G47" s="24">
        <v>779000</v>
      </c>
      <c r="H47" s="215">
        <v>0</v>
      </c>
      <c r="I47" s="53"/>
      <c r="M47" s="4"/>
    </row>
    <row r="48" spans="1:13" s="135" customFormat="1" x14ac:dyDescent="0.2">
      <c r="A48" s="22">
        <v>4137</v>
      </c>
      <c r="B48" s="25">
        <v>6330</v>
      </c>
      <c r="C48" s="28" t="s">
        <v>248</v>
      </c>
      <c r="D48" s="24">
        <v>0</v>
      </c>
      <c r="E48" s="24">
        <v>24.1</v>
      </c>
      <c r="F48" s="24">
        <v>24100</v>
      </c>
      <c r="G48" s="24">
        <v>24100</v>
      </c>
      <c r="H48" s="215">
        <v>0</v>
      </c>
      <c r="I48" s="53"/>
      <c r="M48" s="4"/>
    </row>
    <row r="49" spans="1:13" s="135" customFormat="1" x14ac:dyDescent="0.2">
      <c r="A49" s="22">
        <v>4137</v>
      </c>
      <c r="B49" s="25">
        <v>6330</v>
      </c>
      <c r="C49" s="28" t="s">
        <v>251</v>
      </c>
      <c r="D49" s="24">
        <v>0</v>
      </c>
      <c r="E49" s="24">
        <v>420</v>
      </c>
      <c r="F49" s="24">
        <v>420000</v>
      </c>
      <c r="G49" s="24">
        <v>420000</v>
      </c>
      <c r="H49" s="215">
        <v>0</v>
      </c>
      <c r="I49" s="53"/>
      <c r="M49" s="4"/>
    </row>
    <row r="50" spans="1:13" s="135" customFormat="1" x14ac:dyDescent="0.2">
      <c r="A50" s="22">
        <v>4137</v>
      </c>
      <c r="B50" s="25">
        <v>6330</v>
      </c>
      <c r="C50" s="28" t="s">
        <v>252</v>
      </c>
      <c r="D50" s="24">
        <v>0</v>
      </c>
      <c r="E50" s="24">
        <f>1917.9+239.2</f>
        <v>2157.1</v>
      </c>
      <c r="F50" s="24">
        <v>2157100</v>
      </c>
      <c r="G50" s="24">
        <v>2157100</v>
      </c>
      <c r="H50" s="215">
        <v>0</v>
      </c>
      <c r="I50" s="53"/>
      <c r="M50" s="4"/>
    </row>
    <row r="51" spans="1:13" s="135" customFormat="1" x14ac:dyDescent="0.2">
      <c r="A51" s="22">
        <v>4137</v>
      </c>
      <c r="B51" s="25">
        <v>6330</v>
      </c>
      <c r="C51" s="28" t="s">
        <v>268</v>
      </c>
      <c r="D51" s="24">
        <v>0</v>
      </c>
      <c r="E51" s="24">
        <v>1691.7</v>
      </c>
      <c r="F51" s="24"/>
      <c r="G51" s="24"/>
      <c r="H51" s="215"/>
      <c r="I51" s="53"/>
      <c r="M51" s="4"/>
    </row>
    <row r="52" spans="1:13" s="135" customFormat="1" x14ac:dyDescent="0.2">
      <c r="A52" s="22"/>
      <c r="B52" s="25"/>
      <c r="C52" s="28" t="s">
        <v>265</v>
      </c>
      <c r="D52" s="24"/>
      <c r="E52" s="24"/>
      <c r="F52" s="24">
        <v>11270.33</v>
      </c>
      <c r="G52" s="24">
        <v>11270.33</v>
      </c>
      <c r="H52" s="215">
        <v>0</v>
      </c>
      <c r="I52" s="53"/>
      <c r="M52" s="4"/>
    </row>
    <row r="53" spans="1:13" s="135" customFormat="1" x14ac:dyDescent="0.2">
      <c r="A53" s="22"/>
      <c r="B53" s="25"/>
      <c r="C53" s="28" t="s">
        <v>267</v>
      </c>
      <c r="D53" s="24"/>
      <c r="E53" s="24"/>
      <c r="F53" s="24">
        <v>1680386.04</v>
      </c>
      <c r="G53" s="24">
        <v>1680386.04</v>
      </c>
      <c r="H53" s="215">
        <v>0</v>
      </c>
      <c r="I53" s="53"/>
      <c r="M53" s="4"/>
    </row>
    <row r="54" spans="1:13" s="135" customFormat="1" x14ac:dyDescent="0.2">
      <c r="A54" s="22">
        <v>4137</v>
      </c>
      <c r="B54" s="25">
        <v>6330</v>
      </c>
      <c r="C54" s="28" t="s">
        <v>306</v>
      </c>
      <c r="D54" s="24">
        <v>0</v>
      </c>
      <c r="E54" s="24">
        <v>346</v>
      </c>
      <c r="F54" s="24">
        <v>346000</v>
      </c>
      <c r="G54" s="24">
        <v>346000</v>
      </c>
      <c r="H54" s="215">
        <v>0</v>
      </c>
      <c r="I54" s="53"/>
      <c r="M54" s="4"/>
    </row>
    <row r="55" spans="1:13" s="135" customFormat="1" ht="30" x14ac:dyDescent="0.2">
      <c r="A55" s="22">
        <v>4137</v>
      </c>
      <c r="B55" s="25">
        <v>6330</v>
      </c>
      <c r="C55" s="28" t="s">
        <v>320</v>
      </c>
      <c r="D55" s="24">
        <v>0</v>
      </c>
      <c r="E55" s="24">
        <f>231.5+231.5</f>
        <v>463</v>
      </c>
      <c r="F55" s="24">
        <f>231515.25+231515.25</f>
        <v>463030.5</v>
      </c>
      <c r="G55" s="24">
        <f>231515.25+231515.25</f>
        <v>463030.5</v>
      </c>
      <c r="H55" s="215">
        <v>0</v>
      </c>
      <c r="I55" s="53"/>
      <c r="M55" s="4"/>
    </row>
    <row r="56" spans="1:13" s="135" customFormat="1" ht="35.25" customHeight="1" x14ac:dyDescent="0.2">
      <c r="A56" s="22">
        <v>4137</v>
      </c>
      <c r="B56" s="25">
        <v>6330</v>
      </c>
      <c r="C56" s="207" t="s">
        <v>260</v>
      </c>
      <c r="D56" s="24">
        <v>0</v>
      </c>
      <c r="E56" s="24">
        <f>549+409.7</f>
        <v>958.7</v>
      </c>
      <c r="F56" s="24">
        <v>508750</v>
      </c>
      <c r="G56" s="24">
        <v>508750</v>
      </c>
      <c r="H56" s="215">
        <v>0</v>
      </c>
      <c r="I56" s="53"/>
      <c r="M56" s="4"/>
    </row>
    <row r="57" spans="1:13" s="135" customFormat="1" ht="30" x14ac:dyDescent="0.2">
      <c r="A57" s="22">
        <v>4137</v>
      </c>
      <c r="B57" s="170">
        <v>6330</v>
      </c>
      <c r="C57" s="165" t="s">
        <v>261</v>
      </c>
      <c r="D57" s="24">
        <v>0</v>
      </c>
      <c r="E57" s="24">
        <f>439.2+327.8</f>
        <v>767</v>
      </c>
      <c r="F57" s="24">
        <v>407000</v>
      </c>
      <c r="G57" s="24">
        <v>407000</v>
      </c>
      <c r="H57" s="215">
        <v>0</v>
      </c>
      <c r="I57" s="53"/>
      <c r="M57" s="4"/>
    </row>
    <row r="58" spans="1:13" s="135" customFormat="1" ht="30" x14ac:dyDescent="0.2">
      <c r="A58" s="22">
        <v>4137</v>
      </c>
      <c r="B58" s="170">
        <v>6330</v>
      </c>
      <c r="C58" s="207" t="s">
        <v>321</v>
      </c>
      <c r="D58" s="24">
        <v>0</v>
      </c>
      <c r="E58" s="24">
        <f>486.2+486.2</f>
        <v>972.4</v>
      </c>
      <c r="F58" s="24">
        <v>972400</v>
      </c>
      <c r="G58" s="24">
        <v>972400</v>
      </c>
      <c r="H58" s="215">
        <v>0</v>
      </c>
      <c r="I58" s="53"/>
      <c r="M58" s="4"/>
    </row>
    <row r="59" spans="1:13" s="135" customFormat="1" ht="18.75" customHeight="1" x14ac:dyDescent="0.2">
      <c r="A59" s="22">
        <v>4137</v>
      </c>
      <c r="B59" s="170">
        <v>6330</v>
      </c>
      <c r="C59" s="165" t="s">
        <v>322</v>
      </c>
      <c r="D59" s="24">
        <v>0</v>
      </c>
      <c r="E59" s="24">
        <f>1508.3+1508.2</f>
        <v>3016.5</v>
      </c>
      <c r="F59" s="24">
        <f>1508239.01+1508238.99</f>
        <v>3016478</v>
      </c>
      <c r="G59" s="24">
        <f>1508239.01+1508238.99</f>
        <v>3016478</v>
      </c>
      <c r="H59" s="215">
        <v>0</v>
      </c>
      <c r="I59" s="53"/>
      <c r="M59" s="4"/>
    </row>
    <row r="60" spans="1:13" s="135" customFormat="1" ht="20.25" customHeight="1" x14ac:dyDescent="0.2">
      <c r="A60" s="22">
        <v>4137</v>
      </c>
      <c r="B60" s="170">
        <v>6330</v>
      </c>
      <c r="C60" s="165" t="s">
        <v>323</v>
      </c>
      <c r="D60" s="24">
        <v>0</v>
      </c>
      <c r="E60" s="24">
        <f>138.1+138.1</f>
        <v>276.2</v>
      </c>
      <c r="F60" s="24">
        <f>138066+138066</f>
        <v>276132</v>
      </c>
      <c r="G60" s="24">
        <f>138066+138066</f>
        <v>276132</v>
      </c>
      <c r="H60" s="215">
        <v>0</v>
      </c>
      <c r="I60" s="53"/>
      <c r="M60" s="4"/>
    </row>
    <row r="61" spans="1:13" s="135" customFormat="1" ht="30" x14ac:dyDescent="0.2">
      <c r="A61" s="22">
        <v>4137</v>
      </c>
      <c r="B61" s="170">
        <v>6330</v>
      </c>
      <c r="C61" s="207" t="s">
        <v>319</v>
      </c>
      <c r="D61" s="24">
        <v>0</v>
      </c>
      <c r="E61" s="24">
        <f>151.2+151.2</f>
        <v>302.39999999999998</v>
      </c>
      <c r="F61" s="24">
        <v>0</v>
      </c>
      <c r="G61" s="24">
        <v>0</v>
      </c>
      <c r="H61" s="215">
        <v>0</v>
      </c>
      <c r="I61" s="53"/>
      <c r="M61" s="4"/>
    </row>
    <row r="62" spans="1:13" ht="31.5" x14ac:dyDescent="0.25">
      <c r="A62" s="22"/>
      <c r="B62" s="25"/>
      <c r="C62" s="28" t="s">
        <v>250</v>
      </c>
      <c r="D62" s="24"/>
      <c r="E62" s="24"/>
      <c r="F62" s="24"/>
      <c r="G62" s="24"/>
      <c r="H62" s="215"/>
      <c r="I62" s="53"/>
    </row>
    <row r="63" spans="1:13" ht="30" x14ac:dyDescent="0.2">
      <c r="A63" s="22">
        <v>4137</v>
      </c>
      <c r="B63" s="25">
        <v>6330</v>
      </c>
      <c r="C63" s="28" t="s">
        <v>318</v>
      </c>
      <c r="D63" s="24">
        <v>0</v>
      </c>
      <c r="E63" s="24">
        <v>8000</v>
      </c>
      <c r="F63" s="24">
        <v>8000000</v>
      </c>
      <c r="G63" s="24">
        <v>8000000</v>
      </c>
      <c r="H63" s="215">
        <v>0</v>
      </c>
      <c r="I63" s="53"/>
    </row>
    <row r="64" spans="1:13" ht="30" x14ac:dyDescent="0.2">
      <c r="A64" s="22">
        <v>4137</v>
      </c>
      <c r="B64" s="170">
        <v>6330</v>
      </c>
      <c r="C64" s="207" t="s">
        <v>262</v>
      </c>
      <c r="D64" s="24">
        <v>0</v>
      </c>
      <c r="E64" s="24">
        <f>54+153.1</f>
        <v>207.1</v>
      </c>
      <c r="F64" s="24">
        <v>54000</v>
      </c>
      <c r="G64" s="24">
        <v>54000</v>
      </c>
      <c r="H64" s="215">
        <v>0</v>
      </c>
      <c r="I64" s="53"/>
    </row>
    <row r="65" spans="1:16" ht="30" x14ac:dyDescent="0.2">
      <c r="A65" s="22">
        <v>4137</v>
      </c>
      <c r="B65" s="170">
        <v>6330</v>
      </c>
      <c r="C65" s="165" t="s">
        <v>263</v>
      </c>
      <c r="D65" s="24">
        <v>0</v>
      </c>
      <c r="E65" s="24">
        <f>43.2+122.5</f>
        <v>165.7</v>
      </c>
      <c r="F65" s="24">
        <v>43200</v>
      </c>
      <c r="G65" s="24">
        <v>43200</v>
      </c>
      <c r="H65" s="215">
        <v>0</v>
      </c>
      <c r="I65" s="53"/>
    </row>
    <row r="66" spans="1:16" s="8" customFormat="1" ht="15.75" x14ac:dyDescent="0.25">
      <c r="A66" s="22"/>
      <c r="B66" s="25"/>
      <c r="C66" s="143" t="s">
        <v>124</v>
      </c>
      <c r="D66" s="68">
        <f>SUM(D33:D65)</f>
        <v>51254</v>
      </c>
      <c r="E66" s="68">
        <f>SUM(E33:E65)</f>
        <v>75355.299999999988</v>
      </c>
      <c r="F66" s="68">
        <f>SUM(F33:F65)</f>
        <v>60070988.789999999</v>
      </c>
      <c r="G66" s="63">
        <f>SUM(G33:G65)</f>
        <v>63403988.789999999</v>
      </c>
      <c r="H66" s="219">
        <f>SUM(H33:H65)</f>
        <v>46898.5</v>
      </c>
      <c r="I66" s="63">
        <f>H66</f>
        <v>46898.5</v>
      </c>
      <c r="J66" s="135"/>
      <c r="K66" s="135"/>
      <c r="L66" s="135"/>
      <c r="M66" s="4"/>
      <c r="N66" s="134"/>
      <c r="O66" s="134"/>
      <c r="P66" s="134"/>
    </row>
    <row r="67" spans="1:16" s="8" customFormat="1" ht="16.5" thickBot="1" x14ac:dyDescent="0.3">
      <c r="A67" s="155"/>
      <c r="B67" s="156"/>
      <c r="C67" s="159"/>
      <c r="D67" s="160"/>
      <c r="E67" s="160"/>
      <c r="F67" s="160"/>
      <c r="G67" s="161"/>
      <c r="H67" s="215"/>
      <c r="I67" s="53"/>
      <c r="J67" s="135"/>
      <c r="K67" s="135"/>
      <c r="L67" s="135"/>
      <c r="M67" s="4"/>
      <c r="N67" s="134"/>
      <c r="O67" s="134"/>
      <c r="P67" s="134"/>
    </row>
    <row r="68" spans="1:16" ht="32.25" thickBot="1" x14ac:dyDescent="0.3">
      <c r="A68" s="157"/>
      <c r="B68" s="38"/>
      <c r="C68" s="49" t="s">
        <v>118</v>
      </c>
      <c r="D68" s="56">
        <f>D15+D30+D66</f>
        <v>60126</v>
      </c>
      <c r="E68" s="56">
        <f>E15+E30+E66</f>
        <v>84471.9</v>
      </c>
      <c r="F68" s="56">
        <f>F15+F30+F66</f>
        <v>68166618.269999996</v>
      </c>
      <c r="G68" s="54">
        <f>G15+G30+G66</f>
        <v>72436432.189999998</v>
      </c>
      <c r="H68" s="220">
        <f>H15+H30+H66</f>
        <v>55899.5</v>
      </c>
      <c r="I68" s="218">
        <f>SUM(I7:I66)</f>
        <v>55899.5</v>
      </c>
    </row>
    <row r="69" spans="1:16" ht="15.75" x14ac:dyDescent="0.25">
      <c r="A69" s="259"/>
      <c r="B69" s="260"/>
      <c r="C69" s="261"/>
      <c r="D69" s="262"/>
      <c r="E69" s="262"/>
      <c r="F69" s="262"/>
      <c r="G69" s="263"/>
      <c r="H69" s="264"/>
      <c r="I69" s="265"/>
    </row>
    <row r="70" spans="1:16" s="20" customFormat="1" ht="15.75" x14ac:dyDescent="0.25">
      <c r="A70" s="39"/>
      <c r="B70" s="40"/>
      <c r="C70" s="41"/>
      <c r="D70" s="21"/>
      <c r="E70" s="21"/>
      <c r="F70" s="21"/>
      <c r="G70" s="53"/>
      <c r="H70" s="216"/>
      <c r="I70" s="217"/>
      <c r="J70" s="136"/>
      <c r="K70" s="136"/>
      <c r="L70" s="136"/>
      <c r="M70" s="137"/>
      <c r="N70" s="136"/>
      <c r="O70" s="136"/>
      <c r="P70" s="136"/>
    </row>
    <row r="71" spans="1:16" s="20" customFormat="1" ht="15.75" x14ac:dyDescent="0.25">
      <c r="A71" s="39"/>
      <c r="B71" s="40"/>
      <c r="C71" s="41" t="s">
        <v>114</v>
      </c>
      <c r="D71" s="21"/>
      <c r="E71" s="21"/>
      <c r="F71" s="21"/>
      <c r="G71" s="53"/>
      <c r="H71" s="216"/>
      <c r="I71" s="217"/>
      <c r="J71" s="136"/>
      <c r="K71" s="136"/>
      <c r="L71" s="136"/>
      <c r="M71" s="137"/>
      <c r="N71" s="136"/>
      <c r="O71" s="136"/>
      <c r="P71" s="136"/>
    </row>
    <row r="72" spans="1:16" s="20" customFormat="1" x14ac:dyDescent="0.2">
      <c r="A72" s="22">
        <v>4133</v>
      </c>
      <c r="B72" s="25">
        <v>6330</v>
      </c>
      <c r="C72" s="28" t="s">
        <v>71</v>
      </c>
      <c r="D72" s="24">
        <f>D35</f>
        <v>582</v>
      </c>
      <c r="E72" s="24">
        <f>E35</f>
        <v>582</v>
      </c>
      <c r="F72" s="24">
        <f>F35</f>
        <v>232592.92</v>
      </c>
      <c r="G72" s="24">
        <f>G35</f>
        <v>232592.92</v>
      </c>
      <c r="H72" s="215">
        <f>H35</f>
        <v>1122</v>
      </c>
      <c r="I72" s="217"/>
      <c r="J72" s="136"/>
      <c r="K72" s="136"/>
      <c r="L72" s="136"/>
      <c r="M72" s="137"/>
      <c r="N72" s="136"/>
      <c r="O72" s="136"/>
      <c r="P72" s="136"/>
    </row>
    <row r="73" spans="1:16" s="20" customFormat="1" x14ac:dyDescent="0.2">
      <c r="A73" s="22">
        <v>4134</v>
      </c>
      <c r="B73" s="25">
        <v>6330</v>
      </c>
      <c r="C73" s="28" t="s">
        <v>42</v>
      </c>
      <c r="D73" s="144"/>
      <c r="E73" s="144"/>
      <c r="F73" s="24"/>
      <c r="G73" s="24"/>
      <c r="H73" s="215"/>
      <c r="I73" s="217"/>
      <c r="J73" s="136"/>
      <c r="K73" s="136"/>
      <c r="L73" s="136"/>
      <c r="M73" s="137"/>
      <c r="N73" s="136"/>
      <c r="O73" s="136"/>
      <c r="P73" s="136"/>
    </row>
    <row r="74" spans="1:16" x14ac:dyDescent="0.2">
      <c r="A74" s="69"/>
      <c r="B74" s="73"/>
      <c r="C74" s="74" t="s">
        <v>120</v>
      </c>
      <c r="D74" s="24">
        <f t="shared" ref="D74:H76" si="0">D37</f>
        <v>300</v>
      </c>
      <c r="E74" s="24">
        <f t="shared" si="0"/>
        <v>300</v>
      </c>
      <c r="F74" s="24">
        <f t="shared" si="0"/>
        <v>221163</v>
      </c>
      <c r="G74" s="24">
        <f t="shared" si="0"/>
        <v>221163</v>
      </c>
      <c r="H74" s="215">
        <f t="shared" si="0"/>
        <v>300</v>
      </c>
      <c r="I74" s="53"/>
    </row>
    <row r="75" spans="1:16" x14ac:dyDescent="0.2">
      <c r="A75" s="69"/>
      <c r="B75" s="73"/>
      <c r="C75" s="74" t="s">
        <v>90</v>
      </c>
      <c r="D75" s="24">
        <f t="shared" si="0"/>
        <v>0</v>
      </c>
      <c r="E75" s="24">
        <f t="shared" si="0"/>
        <v>1300</v>
      </c>
      <c r="F75" s="24">
        <f t="shared" si="0"/>
        <v>1300000</v>
      </c>
      <c r="G75" s="24">
        <f t="shared" si="0"/>
        <v>1300000</v>
      </c>
      <c r="H75" s="215">
        <f t="shared" si="0"/>
        <v>0</v>
      </c>
      <c r="I75" s="53"/>
    </row>
    <row r="76" spans="1:16" x14ac:dyDescent="0.2">
      <c r="A76" s="22">
        <v>4139</v>
      </c>
      <c r="B76" s="25">
        <v>6330</v>
      </c>
      <c r="C76" s="28" t="s">
        <v>121</v>
      </c>
      <c r="D76" s="24">
        <f t="shared" si="0"/>
        <v>365</v>
      </c>
      <c r="E76" s="24">
        <f t="shared" si="0"/>
        <v>365</v>
      </c>
      <c r="F76" s="24">
        <f t="shared" si="0"/>
        <v>229984</v>
      </c>
      <c r="G76" s="24">
        <f t="shared" si="0"/>
        <v>229984</v>
      </c>
      <c r="H76" s="215">
        <f t="shared" si="0"/>
        <v>346.5</v>
      </c>
      <c r="I76" s="53"/>
      <c r="J76" s="4"/>
    </row>
    <row r="77" spans="1:16" ht="30" x14ac:dyDescent="0.2">
      <c r="A77" s="22">
        <v>4137</v>
      </c>
      <c r="B77" s="25">
        <v>6330</v>
      </c>
      <c r="C77" s="28" t="s">
        <v>125</v>
      </c>
      <c r="D77" s="24">
        <f>SUM(D40:D65)</f>
        <v>40007</v>
      </c>
      <c r="E77" s="24">
        <f>SUM(E40:E65)</f>
        <v>61508.299999999988</v>
      </c>
      <c r="F77" s="24">
        <f>SUM(F40:F65)</f>
        <v>56787248.869999997</v>
      </c>
      <c r="G77" s="222">
        <f>SUM(G40:G65)</f>
        <v>60120248.869999997</v>
      </c>
      <c r="H77" s="215">
        <f>SUM(H40:H65)</f>
        <v>45130</v>
      </c>
      <c r="I77" s="53"/>
    </row>
    <row r="78" spans="1:16" ht="32.25" thickBot="1" x14ac:dyDescent="0.3">
      <c r="A78" s="145"/>
      <c r="B78" s="146"/>
      <c r="C78" s="147" t="s">
        <v>117</v>
      </c>
      <c r="D78" s="148">
        <f>SUM(D72:D77)</f>
        <v>41254</v>
      </c>
      <c r="E78" s="148">
        <f>SUM(E72:E77)</f>
        <v>64055.299999999988</v>
      </c>
      <c r="F78" s="148">
        <f>SUM(F72:F77)</f>
        <v>58770988.789999999</v>
      </c>
      <c r="G78" s="149">
        <f>SUM(G72:G77)</f>
        <v>62103988.789999999</v>
      </c>
      <c r="H78" s="221">
        <f>SUM(H72:H77)</f>
        <v>46898.5</v>
      </c>
      <c r="I78" s="149">
        <f>H78</f>
        <v>46898.5</v>
      </c>
    </row>
    <row r="79" spans="1:16" ht="16.5" thickBot="1" x14ac:dyDescent="0.3">
      <c r="A79" s="30"/>
      <c r="B79" s="30"/>
      <c r="C79" s="139"/>
      <c r="D79" s="140"/>
      <c r="E79" s="140"/>
      <c r="F79" s="140"/>
      <c r="G79" s="130"/>
      <c r="H79" s="60"/>
    </row>
    <row r="80" spans="1:16" ht="32.25" thickBot="1" x14ac:dyDescent="0.3">
      <c r="A80" s="37"/>
      <c r="B80" s="50"/>
      <c r="C80" s="51" t="s">
        <v>126</v>
      </c>
      <c r="D80" s="56">
        <f t="shared" ref="D80:I80" si="1">D68-D78</f>
        <v>18872</v>
      </c>
      <c r="E80" s="56">
        <f t="shared" si="1"/>
        <v>20416.600000000006</v>
      </c>
      <c r="F80" s="54">
        <f t="shared" si="1"/>
        <v>9395629.4799999967</v>
      </c>
      <c r="G80" s="55">
        <f t="shared" si="1"/>
        <v>10332443.399999999</v>
      </c>
      <c r="H80" s="54">
        <f t="shared" si="1"/>
        <v>9001</v>
      </c>
      <c r="I80" s="55">
        <f t="shared" si="1"/>
        <v>9001</v>
      </c>
    </row>
    <row r="81" spans="1:16" ht="16.5" thickBot="1" x14ac:dyDescent="0.3">
      <c r="C81" s="46"/>
      <c r="D81" s="47"/>
      <c r="E81" s="48"/>
      <c r="F81" s="48"/>
      <c r="G81" s="130"/>
      <c r="H81" s="130"/>
      <c r="I81" s="130"/>
    </row>
    <row r="82" spans="1:16" ht="16.5" thickBot="1" x14ac:dyDescent="0.3">
      <c r="A82" s="37"/>
      <c r="B82" s="50"/>
      <c r="C82" s="51" t="s">
        <v>127</v>
      </c>
      <c r="D82" s="52">
        <f t="shared" ref="D82:G82" si="2">D77</f>
        <v>40007</v>
      </c>
      <c r="E82" s="52">
        <f t="shared" si="2"/>
        <v>61508.299999999988</v>
      </c>
      <c r="F82" s="52">
        <f t="shared" si="2"/>
        <v>56787248.869999997</v>
      </c>
      <c r="G82" s="55">
        <f t="shared" si="2"/>
        <v>60120248.869999997</v>
      </c>
      <c r="H82" s="54">
        <f>H77</f>
        <v>45130</v>
      </c>
      <c r="I82" s="55">
        <f>H82</f>
        <v>45130</v>
      </c>
    </row>
    <row r="83" spans="1:16" ht="16.5" thickBot="1" x14ac:dyDescent="0.3">
      <c r="D83" s="47"/>
      <c r="E83" s="48"/>
      <c r="F83" s="48"/>
      <c r="G83" s="130"/>
      <c r="H83" s="130"/>
      <c r="I83" s="130"/>
    </row>
    <row r="84" spans="1:16" ht="16.5" thickBot="1" x14ac:dyDescent="0.3">
      <c r="A84" s="42"/>
      <c r="B84" s="43"/>
      <c r="C84" s="44" t="s">
        <v>168</v>
      </c>
      <c r="D84" s="57">
        <f t="shared" ref="D84:I84" si="3">SUM(D80:D82)</f>
        <v>58879</v>
      </c>
      <c r="E84" s="57">
        <f t="shared" si="3"/>
        <v>81924.899999999994</v>
      </c>
      <c r="F84" s="57">
        <f t="shared" si="3"/>
        <v>66182878.349999994</v>
      </c>
      <c r="G84" s="158">
        <f t="shared" si="3"/>
        <v>70452692.269999996</v>
      </c>
      <c r="H84" s="57">
        <f t="shared" si="3"/>
        <v>54131</v>
      </c>
      <c r="I84" s="158">
        <f t="shared" si="3"/>
        <v>54131</v>
      </c>
    </row>
    <row r="85" spans="1:16" s="8" customFormat="1" ht="15.75" x14ac:dyDescent="0.25">
      <c r="A85" s="90"/>
      <c r="B85" s="90"/>
      <c r="C85" s="91"/>
      <c r="D85" s="92"/>
      <c r="E85" s="92"/>
      <c r="F85" s="92"/>
      <c r="G85" s="92"/>
      <c r="H85" s="113"/>
      <c r="I85" s="134"/>
      <c r="J85" s="135"/>
      <c r="K85" s="135"/>
      <c r="L85" s="135"/>
      <c r="M85" s="4"/>
      <c r="N85" s="134"/>
      <c r="O85" s="134"/>
      <c r="P85" s="134"/>
    </row>
    <row r="86" spans="1:16" s="8" customFormat="1" ht="24.75" customHeight="1" x14ac:dyDescent="0.2">
      <c r="A86" s="271" t="s">
        <v>386</v>
      </c>
      <c r="B86" s="271"/>
      <c r="C86" s="271"/>
      <c r="D86" s="271"/>
      <c r="E86" s="271"/>
      <c r="F86" s="271"/>
      <c r="G86" s="271"/>
      <c r="H86" s="162"/>
      <c r="I86" s="134"/>
      <c r="J86" s="135"/>
      <c r="K86" s="135"/>
      <c r="L86" s="135"/>
      <c r="M86" s="4"/>
      <c r="N86" s="134"/>
      <c r="O86" s="134"/>
      <c r="P86" s="134"/>
    </row>
    <row r="87" spans="1:16" s="8" customFormat="1" ht="12.75" customHeight="1" x14ac:dyDescent="0.2">
      <c r="A87" s="271"/>
      <c r="B87" s="271"/>
      <c r="C87" s="271"/>
      <c r="D87" s="271"/>
      <c r="E87" s="271"/>
      <c r="F87" s="271"/>
      <c r="G87" s="271"/>
      <c r="H87" s="162"/>
      <c r="I87" s="134"/>
      <c r="J87" s="135"/>
      <c r="K87" s="135"/>
      <c r="L87" s="135"/>
      <c r="M87" s="4"/>
      <c r="N87" s="134"/>
      <c r="O87" s="134"/>
      <c r="P87" s="134"/>
    </row>
    <row r="88" spans="1:16" s="8" customFormat="1" ht="12.75" customHeight="1" x14ac:dyDescent="0.2">
      <c r="A88" s="271"/>
      <c r="B88" s="271"/>
      <c r="C88" s="271"/>
      <c r="D88" s="271"/>
      <c r="E88" s="271"/>
      <c r="F88" s="271"/>
      <c r="G88" s="271"/>
      <c r="H88" s="162"/>
      <c r="I88" s="134"/>
      <c r="J88" s="135"/>
      <c r="K88" s="135"/>
      <c r="L88" s="135"/>
      <c r="M88" s="4"/>
      <c r="N88" s="134"/>
      <c r="O88" s="134"/>
      <c r="P88" s="134"/>
    </row>
    <row r="89" spans="1:16" s="8" customFormat="1" ht="12.75" customHeight="1" x14ac:dyDescent="0.2">
      <c r="A89" s="271"/>
      <c r="B89" s="271"/>
      <c r="C89" s="271"/>
      <c r="D89" s="271"/>
      <c r="E89" s="271"/>
      <c r="F89" s="271"/>
      <c r="G89" s="271"/>
      <c r="H89" s="162"/>
      <c r="I89" s="134"/>
      <c r="J89" s="135"/>
      <c r="K89" s="135"/>
      <c r="L89" s="135"/>
      <c r="M89" s="4"/>
      <c r="N89" s="134"/>
      <c r="O89" s="134"/>
      <c r="P89" s="134"/>
    </row>
    <row r="90" spans="1:16" s="8" customFormat="1" ht="12.75" customHeight="1" x14ac:dyDescent="0.2">
      <c r="A90" s="271"/>
      <c r="B90" s="271"/>
      <c r="C90" s="271"/>
      <c r="D90" s="271"/>
      <c r="E90" s="271"/>
      <c r="F90" s="271"/>
      <c r="G90" s="271"/>
      <c r="H90" s="162"/>
      <c r="I90" s="134"/>
      <c r="J90" s="135"/>
      <c r="K90" s="135"/>
      <c r="L90" s="135"/>
      <c r="M90" s="4"/>
      <c r="N90" s="134"/>
      <c r="O90" s="134"/>
      <c r="P90" s="134"/>
    </row>
    <row r="91" spans="1:16" s="8" customFormat="1" ht="12.75" customHeight="1" x14ac:dyDescent="0.2">
      <c r="A91" s="271"/>
      <c r="B91" s="271"/>
      <c r="C91" s="271"/>
      <c r="D91" s="271"/>
      <c r="E91" s="271"/>
      <c r="F91" s="271"/>
      <c r="G91" s="271"/>
      <c r="H91" s="162"/>
      <c r="I91" s="134"/>
      <c r="J91" s="135"/>
      <c r="K91" s="135"/>
      <c r="L91" s="135"/>
      <c r="M91" s="4"/>
      <c r="N91" s="134"/>
      <c r="O91" s="134"/>
      <c r="P91" s="134"/>
    </row>
    <row r="92" spans="1:16" s="8" customFormat="1" ht="12.75" customHeight="1" x14ac:dyDescent="0.2">
      <c r="A92" s="271"/>
      <c r="B92" s="271"/>
      <c r="C92" s="271"/>
      <c r="D92" s="271"/>
      <c r="E92" s="271"/>
      <c r="F92" s="271"/>
      <c r="G92" s="271"/>
      <c r="H92" s="162"/>
      <c r="I92" s="134"/>
      <c r="J92" s="135"/>
      <c r="K92" s="135"/>
      <c r="L92" s="135"/>
      <c r="M92" s="4"/>
      <c r="N92" s="134"/>
      <c r="O92" s="134"/>
      <c r="P92" s="134"/>
    </row>
    <row r="93" spans="1:16" s="8" customFormat="1" ht="12.75" x14ac:dyDescent="0.2">
      <c r="A93" s="271"/>
      <c r="B93" s="271"/>
      <c r="C93" s="271"/>
      <c r="D93" s="271"/>
      <c r="E93" s="271"/>
      <c r="F93" s="271"/>
      <c r="G93" s="271"/>
      <c r="H93" s="162"/>
      <c r="I93" s="134"/>
      <c r="J93" s="135"/>
      <c r="K93" s="135"/>
      <c r="L93" s="135"/>
      <c r="M93" s="4"/>
      <c r="N93" s="134"/>
      <c r="O93" s="134"/>
      <c r="P93" s="134"/>
    </row>
    <row r="94" spans="1:16" s="8" customFormat="1" x14ac:dyDescent="0.2">
      <c r="A94" s="271"/>
      <c r="B94" s="272"/>
      <c r="C94" s="272"/>
      <c r="D94" s="272"/>
      <c r="E94" s="272"/>
      <c r="F94" s="272"/>
      <c r="G94" s="272"/>
      <c r="H94" s="61"/>
      <c r="I94" s="134"/>
      <c r="J94" s="135"/>
      <c r="K94" s="135"/>
      <c r="L94" s="135"/>
      <c r="M94" s="4"/>
      <c r="N94" s="134"/>
      <c r="O94" s="134"/>
      <c r="P94" s="134"/>
    </row>
    <row r="95" spans="1:16" s="8" customFormat="1" ht="15.75" x14ac:dyDescent="0.25">
      <c r="A95" s="45"/>
      <c r="B95" s="45"/>
      <c r="C95" s="266" t="s">
        <v>389</v>
      </c>
      <c r="D95" s="266"/>
      <c r="E95" s="266"/>
      <c r="F95" s="266"/>
      <c r="G95" s="23"/>
      <c r="H95" s="61"/>
      <c r="I95" s="134"/>
      <c r="J95" s="135"/>
      <c r="K95" s="135"/>
      <c r="L95" s="135"/>
      <c r="M95" s="4"/>
      <c r="N95" s="134"/>
      <c r="O95" s="134"/>
      <c r="P95" s="134"/>
    </row>
    <row r="96" spans="1:16" ht="15.75" x14ac:dyDescent="0.25">
      <c r="C96" s="258"/>
      <c r="D96" s="258"/>
      <c r="E96" s="258"/>
      <c r="F96" s="258"/>
    </row>
    <row r="97" spans="3:6" ht="15.75" x14ac:dyDescent="0.25">
      <c r="C97" s="266" t="s">
        <v>387</v>
      </c>
      <c r="D97" s="266"/>
      <c r="E97" s="266"/>
      <c r="F97" s="266"/>
    </row>
    <row r="98" spans="3:6" x14ac:dyDescent="0.2">
      <c r="C98" s="267" t="s">
        <v>388</v>
      </c>
      <c r="D98" s="267"/>
      <c r="E98" s="267"/>
      <c r="F98" s="267"/>
    </row>
    <row r="99" spans="3:6" x14ac:dyDescent="0.2">
      <c r="C99" s="178"/>
      <c r="D99" s="179"/>
      <c r="E99" s="179"/>
      <c r="F99" s="179"/>
    </row>
    <row r="100" spans="3:6" ht="15.75" x14ac:dyDescent="0.25">
      <c r="C100" s="268" t="s">
        <v>192</v>
      </c>
      <c r="D100" s="268"/>
      <c r="E100" s="268"/>
      <c r="F100" s="268"/>
    </row>
  </sheetData>
  <mergeCells count="10">
    <mergeCell ref="C97:F97"/>
    <mergeCell ref="C98:F98"/>
    <mergeCell ref="C100:F100"/>
    <mergeCell ref="A1:I1"/>
    <mergeCell ref="A2:I2"/>
    <mergeCell ref="B3:I3"/>
    <mergeCell ref="A86:G93"/>
    <mergeCell ref="A94:G94"/>
    <mergeCell ref="C95:F95"/>
    <mergeCell ref="A4:B4"/>
  </mergeCells>
  <hyperlinks>
    <hyperlink ref="C98" r:id="rId1" display="http://www.praha-kunratice.cz/"/>
  </hyperlinks>
  <pageMargins left="0.70866141732283472" right="0.70866141732283472" top="0.78740157480314965" bottom="0.78740157480314965" header="0.31496062992125984" footer="0.31496062992125984"/>
  <pageSetup paperSize="9" scale="65" fitToHeight="10" orientation="landscape" r:id="rId2"/>
  <headerFooter differentFirst="1">
    <oddHeader xml:space="preserve">&amp;C          
</oddHeader>
    <oddFooter>&amp;CStránka &amp;P</oddFooter>
    <firstFooter>&amp;CStránka 1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1"/>
  <sheetViews>
    <sheetView zoomScaleNormal="100" workbookViewId="0">
      <selection activeCell="K18" sqref="K18:K19"/>
    </sheetView>
  </sheetViews>
  <sheetFormatPr defaultRowHeight="15" x14ac:dyDescent="0.2"/>
  <cols>
    <col min="1" max="1" width="8.7109375" style="45" customWidth="1"/>
    <col min="2" max="2" width="9.140625" style="45" customWidth="1"/>
    <col min="3" max="3" width="74" style="27" customWidth="1"/>
    <col min="4" max="4" width="14.28515625" style="26" customWidth="1"/>
    <col min="5" max="5" width="14" style="26" customWidth="1"/>
    <col min="6" max="6" width="17.7109375" style="23" customWidth="1"/>
    <col min="7" max="7" width="17.7109375" style="106" customWidth="1"/>
    <col min="8" max="8" width="17" style="26" customWidth="1"/>
    <col min="9" max="9" width="16.7109375" style="26" customWidth="1"/>
    <col min="10" max="10" width="11.85546875" style="13" bestFit="1" customWidth="1"/>
    <col min="11" max="12" width="11.7109375" style="2" bestFit="1" customWidth="1"/>
    <col min="13" max="13" width="9.140625" style="2"/>
  </cols>
  <sheetData>
    <row r="1" spans="1:13" ht="18" x14ac:dyDescent="0.25">
      <c r="A1" s="269" t="s">
        <v>107</v>
      </c>
      <c r="B1" s="269"/>
      <c r="C1" s="269"/>
      <c r="D1" s="269"/>
      <c r="E1" s="269"/>
      <c r="F1" s="269"/>
      <c r="G1" s="270"/>
      <c r="H1" s="270"/>
      <c r="I1" s="270"/>
    </row>
    <row r="2" spans="1:13" ht="18" x14ac:dyDescent="0.25">
      <c r="A2" s="269" t="s">
        <v>313</v>
      </c>
      <c r="B2" s="269"/>
      <c r="C2" s="269"/>
      <c r="D2" s="269"/>
      <c r="E2" s="269"/>
      <c r="F2" s="269"/>
      <c r="G2" s="270"/>
      <c r="H2" s="270"/>
      <c r="I2" s="270"/>
    </row>
    <row r="3" spans="1:13" ht="18" x14ac:dyDescent="0.25">
      <c r="A3" s="29"/>
      <c r="B3" s="269"/>
      <c r="C3" s="269"/>
      <c r="D3" s="269"/>
      <c r="E3" s="269"/>
      <c r="F3" s="269"/>
      <c r="G3" s="269"/>
      <c r="H3" s="270"/>
      <c r="I3" s="270"/>
    </row>
    <row r="4" spans="1:13" ht="15.75" thickBot="1" x14ac:dyDescent="0.25">
      <c r="A4" s="58"/>
      <c r="B4" s="58"/>
      <c r="C4" s="31"/>
      <c r="D4" s="59"/>
      <c r="E4" s="60"/>
      <c r="F4" s="61"/>
      <c r="G4" s="104"/>
      <c r="H4" s="113"/>
    </row>
    <row r="5" spans="1:13" s="1" customFormat="1" ht="15.75" x14ac:dyDescent="0.25">
      <c r="A5" s="32" t="s">
        <v>1</v>
      </c>
      <c r="B5" s="33" t="s">
        <v>2</v>
      </c>
      <c r="C5" s="34" t="s">
        <v>43</v>
      </c>
      <c r="D5" s="163" t="s">
        <v>44</v>
      </c>
      <c r="E5" s="62" t="s">
        <v>76</v>
      </c>
      <c r="F5" s="210" t="s">
        <v>312</v>
      </c>
      <c r="G5" s="212" t="s">
        <v>312</v>
      </c>
      <c r="H5" s="214" t="s">
        <v>390</v>
      </c>
      <c r="I5" s="214" t="s">
        <v>390</v>
      </c>
      <c r="J5" s="121"/>
      <c r="K5" s="18"/>
      <c r="L5" s="18"/>
      <c r="M5" s="18"/>
    </row>
    <row r="6" spans="1:13" ht="16.5" thickBot="1" x14ac:dyDescent="0.3">
      <c r="A6" s="248"/>
      <c r="B6" s="254"/>
      <c r="C6" s="255" t="s">
        <v>3</v>
      </c>
      <c r="D6" s="249" t="s">
        <v>7</v>
      </c>
      <c r="E6" s="249" t="s">
        <v>7</v>
      </c>
      <c r="F6" s="250" t="s">
        <v>314</v>
      </c>
      <c r="G6" s="256" t="s">
        <v>315</v>
      </c>
      <c r="H6" s="227" t="s">
        <v>7</v>
      </c>
      <c r="I6" s="257" t="s">
        <v>7</v>
      </c>
    </row>
    <row r="7" spans="1:13" x14ac:dyDescent="0.2">
      <c r="A7" s="164">
        <v>2212</v>
      </c>
      <c r="B7" s="180">
        <v>5021</v>
      </c>
      <c r="C7" s="189" t="s">
        <v>24</v>
      </c>
      <c r="D7" s="120"/>
      <c r="E7" s="201"/>
      <c r="F7" s="120"/>
      <c r="G7" s="233"/>
      <c r="H7" s="247">
        <v>213</v>
      </c>
      <c r="I7" s="242"/>
    </row>
    <row r="8" spans="1:13" x14ac:dyDescent="0.2">
      <c r="A8" s="22">
        <v>2212</v>
      </c>
      <c r="B8" s="170">
        <v>5031</v>
      </c>
      <c r="C8" s="193" t="s">
        <v>375</v>
      </c>
      <c r="D8" s="24"/>
      <c r="E8" s="173"/>
      <c r="F8" s="24"/>
      <c r="G8" s="222"/>
      <c r="H8" s="215">
        <v>42</v>
      </c>
      <c r="I8" s="174"/>
    </row>
    <row r="9" spans="1:13" x14ac:dyDescent="0.2">
      <c r="A9" s="22">
        <v>2212</v>
      </c>
      <c r="B9" s="170">
        <v>5032</v>
      </c>
      <c r="C9" s="193" t="s">
        <v>45</v>
      </c>
      <c r="D9" s="24"/>
      <c r="E9" s="173"/>
      <c r="F9" s="24"/>
      <c r="G9" s="222"/>
      <c r="H9" s="215">
        <v>15</v>
      </c>
      <c r="I9" s="174"/>
    </row>
    <row r="10" spans="1:13" x14ac:dyDescent="0.2">
      <c r="A10" s="181">
        <v>2212</v>
      </c>
      <c r="B10" s="182">
        <v>5137</v>
      </c>
      <c r="C10" s="190" t="s">
        <v>358</v>
      </c>
      <c r="D10" s="246">
        <v>10</v>
      </c>
      <c r="E10" s="202">
        <v>10</v>
      </c>
      <c r="F10" s="246">
        <v>10255.959999999999</v>
      </c>
      <c r="G10" s="251">
        <v>10255.959999999999</v>
      </c>
      <c r="H10" s="252">
        <v>30</v>
      </c>
      <c r="I10" s="253"/>
    </row>
    <row r="11" spans="1:13" ht="30" x14ac:dyDescent="0.2">
      <c r="A11" s="181">
        <v>2212</v>
      </c>
      <c r="B11" s="182">
        <v>5139</v>
      </c>
      <c r="C11" s="190" t="s">
        <v>359</v>
      </c>
      <c r="D11" s="24">
        <v>10</v>
      </c>
      <c r="E11" s="202">
        <v>10</v>
      </c>
      <c r="F11" s="24">
        <f>5801+19541.5</f>
        <v>25342.5</v>
      </c>
      <c r="G11" s="222">
        <f>F11</f>
        <v>25342.5</v>
      </c>
      <c r="H11" s="215">
        <f>10+35</f>
        <v>45</v>
      </c>
      <c r="I11" s="174"/>
    </row>
    <row r="12" spans="1:13" x14ac:dyDescent="0.2">
      <c r="A12" s="181">
        <v>2212</v>
      </c>
      <c r="B12" s="182">
        <v>5156</v>
      </c>
      <c r="C12" s="190" t="s">
        <v>28</v>
      </c>
      <c r="D12" s="24">
        <v>7</v>
      </c>
      <c r="E12" s="202">
        <v>7</v>
      </c>
      <c r="F12" s="24">
        <v>3635.97</v>
      </c>
      <c r="G12" s="222">
        <v>3635.97</v>
      </c>
      <c r="H12" s="215">
        <v>7</v>
      </c>
      <c r="I12" s="174"/>
    </row>
    <row r="13" spans="1:13" x14ac:dyDescent="0.2">
      <c r="A13" s="181">
        <v>2212</v>
      </c>
      <c r="B13" s="182">
        <v>5164</v>
      </c>
      <c r="C13" s="190" t="s">
        <v>188</v>
      </c>
      <c r="D13" s="24">
        <v>11</v>
      </c>
      <c r="E13" s="202">
        <v>11</v>
      </c>
      <c r="F13" s="24">
        <v>5231</v>
      </c>
      <c r="G13" s="222">
        <f>4359+872+872</f>
        <v>6103</v>
      </c>
      <c r="H13" s="215">
        <v>11</v>
      </c>
      <c r="I13" s="174"/>
    </row>
    <row r="14" spans="1:13" ht="30" x14ac:dyDescent="0.2">
      <c r="A14" s="181">
        <v>2212</v>
      </c>
      <c r="B14" s="182">
        <v>5169</v>
      </c>
      <c r="C14" s="190" t="s">
        <v>269</v>
      </c>
      <c r="D14" s="24">
        <v>1000</v>
      </c>
      <c r="E14" s="202">
        <v>1000</v>
      </c>
      <c r="F14" s="24">
        <f>104992+53620+44452+71945+56872+24073+68393+77746+54648</f>
        <v>556741</v>
      </c>
      <c r="G14" s="222">
        <v>650000</v>
      </c>
      <c r="H14" s="215">
        <v>1000</v>
      </c>
      <c r="I14" s="174"/>
    </row>
    <row r="15" spans="1:13" ht="60" x14ac:dyDescent="0.2">
      <c r="A15" s="181">
        <v>2212</v>
      </c>
      <c r="B15" s="182">
        <v>5169</v>
      </c>
      <c r="C15" s="190" t="s">
        <v>156</v>
      </c>
      <c r="D15" s="24">
        <v>440</v>
      </c>
      <c r="E15" s="202">
        <f>440-80</f>
        <v>360</v>
      </c>
      <c r="F15" s="24">
        <v>200870.07</v>
      </c>
      <c r="G15" s="222">
        <v>200870.07</v>
      </c>
      <c r="H15" s="215">
        <v>250</v>
      </c>
      <c r="I15" s="174"/>
    </row>
    <row r="16" spans="1:13" ht="31.5" x14ac:dyDescent="0.25">
      <c r="A16" s="181"/>
      <c r="B16" s="182"/>
      <c r="C16" s="191" t="s">
        <v>384</v>
      </c>
      <c r="D16" s="24"/>
      <c r="E16" s="202"/>
      <c r="F16" s="24"/>
      <c r="G16" s="222"/>
      <c r="H16" s="215"/>
      <c r="I16" s="174"/>
    </row>
    <row r="17" spans="1:13" ht="30" x14ac:dyDescent="0.2">
      <c r="A17" s="181">
        <v>2212</v>
      </c>
      <c r="B17" s="182">
        <v>5169</v>
      </c>
      <c r="C17" s="190" t="s">
        <v>333</v>
      </c>
      <c r="D17" s="24"/>
      <c r="E17" s="202"/>
      <c r="F17" s="24"/>
      <c r="G17" s="222"/>
      <c r="H17" s="215">
        <v>1000</v>
      </c>
      <c r="I17" s="174"/>
    </row>
    <row r="18" spans="1:13" ht="30" x14ac:dyDescent="0.2">
      <c r="A18" s="181">
        <v>2212</v>
      </c>
      <c r="B18" s="182">
        <v>5169</v>
      </c>
      <c r="C18" s="190" t="s">
        <v>334</v>
      </c>
      <c r="D18" s="24"/>
      <c r="E18" s="202"/>
      <c r="F18" s="24"/>
      <c r="G18" s="222"/>
      <c r="H18" s="215">
        <v>180</v>
      </c>
      <c r="I18" s="174"/>
    </row>
    <row r="19" spans="1:13" ht="45" x14ac:dyDescent="0.2">
      <c r="A19" s="181">
        <v>2212</v>
      </c>
      <c r="B19" s="182">
        <v>5169</v>
      </c>
      <c r="C19" s="190" t="s">
        <v>335</v>
      </c>
      <c r="D19" s="24"/>
      <c r="E19" s="202"/>
      <c r="F19" s="24"/>
      <c r="G19" s="222"/>
      <c r="H19" s="215">
        <v>30</v>
      </c>
      <c r="I19" s="174"/>
    </row>
    <row r="20" spans="1:13" ht="15.75" x14ac:dyDescent="0.25">
      <c r="A20" s="183"/>
      <c r="B20" s="184"/>
      <c r="C20" s="191" t="s">
        <v>336</v>
      </c>
      <c r="D20" s="24"/>
      <c r="E20" s="202"/>
      <c r="F20" s="24"/>
      <c r="G20" s="222"/>
      <c r="H20" s="229"/>
      <c r="I20" s="174"/>
    </row>
    <row r="21" spans="1:13" x14ac:dyDescent="0.2">
      <c r="A21" s="181">
        <v>2212</v>
      </c>
      <c r="B21" s="182">
        <v>5171</v>
      </c>
      <c r="C21" s="190" t="s">
        <v>155</v>
      </c>
      <c r="D21" s="24">
        <v>500</v>
      </c>
      <c r="E21" s="202">
        <v>500</v>
      </c>
      <c r="F21" s="24">
        <f>456533+43348</f>
        <v>499881</v>
      </c>
      <c r="G21" s="222">
        <f>456533+43348</f>
        <v>499881</v>
      </c>
      <c r="H21" s="215">
        <v>500</v>
      </c>
      <c r="I21" s="174"/>
    </row>
    <row r="22" spans="1:13" x14ac:dyDescent="0.2">
      <c r="A22" s="181"/>
      <c r="B22" s="182"/>
      <c r="C22" s="190" t="s">
        <v>157</v>
      </c>
      <c r="D22" s="24">
        <v>300</v>
      </c>
      <c r="E22" s="202">
        <f>300-80</f>
        <v>220</v>
      </c>
      <c r="F22" s="24">
        <v>149009.20000000001</v>
      </c>
      <c r="G22" s="222">
        <f>143352.45+5656.75</f>
        <v>149009.20000000001</v>
      </c>
      <c r="H22" s="215">
        <v>250</v>
      </c>
      <c r="I22" s="174"/>
    </row>
    <row r="23" spans="1:13" x14ac:dyDescent="0.2">
      <c r="A23" s="181"/>
      <c r="B23" s="182"/>
      <c r="C23" s="190" t="s">
        <v>145</v>
      </c>
      <c r="D23" s="24">
        <v>170</v>
      </c>
      <c r="E23" s="202">
        <v>170</v>
      </c>
      <c r="F23" s="24">
        <f>70894.4+1422</f>
        <v>72316.399999999994</v>
      </c>
      <c r="G23" s="222">
        <f>70894.4+1422</f>
        <v>72316.399999999994</v>
      </c>
      <c r="H23" s="215">
        <v>150</v>
      </c>
      <c r="I23" s="174"/>
    </row>
    <row r="24" spans="1:13" ht="31.5" x14ac:dyDescent="0.25">
      <c r="A24" s="183"/>
      <c r="B24" s="184"/>
      <c r="C24" s="191" t="s">
        <v>374</v>
      </c>
      <c r="D24" s="24"/>
      <c r="E24" s="202"/>
      <c r="F24" s="24"/>
      <c r="G24" s="222"/>
      <c r="H24" s="229"/>
      <c r="I24" s="174"/>
    </row>
    <row r="25" spans="1:13" ht="15.75" x14ac:dyDescent="0.25">
      <c r="A25" s="183"/>
      <c r="B25" s="184"/>
      <c r="C25" s="191" t="s">
        <v>337</v>
      </c>
      <c r="D25" s="24"/>
      <c r="E25" s="202"/>
      <c r="F25" s="24"/>
      <c r="G25" s="222"/>
      <c r="H25" s="229"/>
      <c r="I25" s="174"/>
    </row>
    <row r="26" spans="1:13" s="12" customFormat="1" x14ac:dyDescent="0.2">
      <c r="A26" s="181">
        <v>2212</v>
      </c>
      <c r="B26" s="182">
        <v>5365</v>
      </c>
      <c r="C26" s="190" t="s">
        <v>338</v>
      </c>
      <c r="D26" s="24"/>
      <c r="E26" s="202"/>
      <c r="F26" s="24"/>
      <c r="G26" s="222"/>
      <c r="H26" s="215">
        <v>6</v>
      </c>
      <c r="I26" s="174"/>
      <c r="J26" s="13"/>
      <c r="K26" s="13"/>
      <c r="L26" s="13"/>
      <c r="M26" s="13"/>
    </row>
    <row r="27" spans="1:13" ht="15.75" x14ac:dyDescent="0.25">
      <c r="A27" s="181"/>
      <c r="B27" s="182"/>
      <c r="C27" s="191" t="s">
        <v>193</v>
      </c>
      <c r="D27" s="24"/>
      <c r="E27" s="202"/>
      <c r="F27" s="24"/>
      <c r="G27" s="222"/>
      <c r="H27" s="229"/>
      <c r="I27" s="174"/>
    </row>
    <row r="28" spans="1:13" ht="15.75" x14ac:dyDescent="0.25">
      <c r="A28" s="181">
        <v>2212</v>
      </c>
      <c r="B28" s="182">
        <v>6121</v>
      </c>
      <c r="C28" s="191" t="s">
        <v>194</v>
      </c>
      <c r="D28" s="24"/>
      <c r="E28" s="202"/>
      <c r="F28" s="24"/>
      <c r="G28" s="222"/>
      <c r="H28" s="229"/>
      <c r="I28" s="174"/>
    </row>
    <row r="29" spans="1:13" s="13" customFormat="1" ht="30" x14ac:dyDescent="0.2">
      <c r="A29" s="181"/>
      <c r="B29" s="182"/>
      <c r="C29" s="190" t="s">
        <v>228</v>
      </c>
      <c r="D29" s="24">
        <v>15550</v>
      </c>
      <c r="E29" s="202">
        <f>15550-550</f>
        <v>15000</v>
      </c>
      <c r="F29" s="24">
        <f>2356747.89+4141390.32+3572885.9+1316123.07+3232312.32+47190</f>
        <v>14666649.5</v>
      </c>
      <c r="G29" s="222">
        <f>2356747.89+4141390.32+3572885.9+1316123.07+3232312.32+47190</f>
        <v>14666649.5</v>
      </c>
      <c r="H29" s="215">
        <v>0</v>
      </c>
      <c r="I29" s="174"/>
      <c r="K29" s="2"/>
      <c r="L29" s="2"/>
      <c r="M29" s="2"/>
    </row>
    <row r="30" spans="1:13" s="13" customFormat="1" ht="30" x14ac:dyDescent="0.2">
      <c r="A30" s="181"/>
      <c r="B30" s="182"/>
      <c r="C30" s="190" t="s">
        <v>229</v>
      </c>
      <c r="D30" s="24">
        <v>0</v>
      </c>
      <c r="E30" s="202">
        <v>1341.4</v>
      </c>
      <c r="F30" s="24">
        <v>1341427.8600000001</v>
      </c>
      <c r="G30" s="222">
        <v>1341427.8600000001</v>
      </c>
      <c r="H30" s="215">
        <v>0</v>
      </c>
      <c r="I30" s="174"/>
      <c r="K30" s="2"/>
      <c r="L30" s="2"/>
      <c r="M30" s="2"/>
    </row>
    <row r="31" spans="1:13" s="13" customFormat="1" x14ac:dyDescent="0.2">
      <c r="A31" s="181"/>
      <c r="B31" s="182"/>
      <c r="C31" s="190" t="s">
        <v>325</v>
      </c>
      <c r="D31" s="24">
        <v>0</v>
      </c>
      <c r="E31" s="202">
        <v>8000</v>
      </c>
      <c r="F31" s="24">
        <v>8000000</v>
      </c>
      <c r="G31" s="222">
        <v>8000000</v>
      </c>
      <c r="H31" s="215">
        <v>0</v>
      </c>
      <c r="I31" s="174"/>
      <c r="K31" s="2"/>
      <c r="L31" s="2"/>
      <c r="M31" s="2"/>
    </row>
    <row r="32" spans="1:13" s="13" customFormat="1" x14ac:dyDescent="0.2">
      <c r="A32" s="181"/>
      <c r="B32" s="182"/>
      <c r="C32" s="190" t="s">
        <v>324</v>
      </c>
      <c r="D32" s="24">
        <v>40000</v>
      </c>
      <c r="E32" s="202">
        <f>40000-10000</f>
        <v>30000</v>
      </c>
      <c r="F32" s="24">
        <f>1196426.72+1318711.52</f>
        <v>2515138.2400000002</v>
      </c>
      <c r="G32" s="222">
        <f>F32</f>
        <v>2515138.2400000002</v>
      </c>
      <c r="H32" s="215">
        <v>24000</v>
      </c>
      <c r="I32" s="174"/>
      <c r="K32" s="2"/>
      <c r="L32" s="2"/>
      <c r="M32" s="2"/>
    </row>
    <row r="33" spans="1:13" s="13" customFormat="1" x14ac:dyDescent="0.2">
      <c r="A33" s="181"/>
      <c r="B33" s="182"/>
      <c r="C33" s="190" t="s">
        <v>328</v>
      </c>
      <c r="D33" s="24"/>
      <c r="E33" s="202"/>
      <c r="F33" s="24">
        <v>469540.5</v>
      </c>
      <c r="G33" s="222">
        <v>469540.5</v>
      </c>
      <c r="H33" s="215">
        <v>440</v>
      </c>
      <c r="I33" s="174"/>
      <c r="K33" s="2"/>
      <c r="L33" s="2"/>
      <c r="M33" s="2"/>
    </row>
    <row r="34" spans="1:13" s="13" customFormat="1" ht="30" x14ac:dyDescent="0.2">
      <c r="A34" s="181"/>
      <c r="B34" s="182"/>
      <c r="C34" s="190" t="s">
        <v>339</v>
      </c>
      <c r="D34" s="24"/>
      <c r="E34" s="202"/>
      <c r="F34" s="24"/>
      <c r="G34" s="222"/>
      <c r="H34" s="215">
        <v>1000</v>
      </c>
      <c r="I34" s="174"/>
      <c r="K34" s="2"/>
      <c r="L34" s="2"/>
      <c r="M34" s="2"/>
    </row>
    <row r="35" spans="1:13" s="13" customFormat="1" ht="15.75" x14ac:dyDescent="0.25">
      <c r="A35" s="181">
        <v>2212</v>
      </c>
      <c r="B35" s="182">
        <v>6121</v>
      </c>
      <c r="C35" s="191" t="s">
        <v>340</v>
      </c>
      <c r="D35" s="24"/>
      <c r="E35" s="202"/>
      <c r="F35" s="24"/>
      <c r="G35" s="222"/>
      <c r="H35" s="215"/>
      <c r="I35" s="174"/>
      <c r="K35" s="2"/>
      <c r="L35" s="2"/>
      <c r="M35" s="2"/>
    </row>
    <row r="36" spans="1:13" s="13" customFormat="1" ht="45" x14ac:dyDescent="0.2">
      <c r="A36" s="181"/>
      <c r="B36" s="182"/>
      <c r="C36" s="190" t="s">
        <v>341</v>
      </c>
      <c r="D36" s="24">
        <v>0</v>
      </c>
      <c r="E36" s="202">
        <v>250</v>
      </c>
      <c r="F36" s="24">
        <f>183764+198+175+175</f>
        <v>184312</v>
      </c>
      <c r="G36" s="222">
        <f>183764+198+175+175</f>
        <v>184312</v>
      </c>
      <c r="H36" s="229"/>
      <c r="I36" s="174"/>
      <c r="K36" s="2"/>
      <c r="L36" s="2"/>
      <c r="M36" s="2"/>
    </row>
    <row r="37" spans="1:13" s="13" customFormat="1" ht="30" x14ac:dyDescent="0.2">
      <c r="A37" s="181"/>
      <c r="B37" s="182"/>
      <c r="C37" s="200" t="s">
        <v>380</v>
      </c>
      <c r="D37" s="24"/>
      <c r="E37" s="202"/>
      <c r="F37" s="24"/>
      <c r="G37" s="222"/>
      <c r="H37" s="215">
        <v>1000</v>
      </c>
      <c r="I37" s="174"/>
      <c r="K37" s="2"/>
      <c r="L37" s="2"/>
      <c r="M37" s="2"/>
    </row>
    <row r="38" spans="1:13" s="13" customFormat="1" ht="30" x14ac:dyDescent="0.2">
      <c r="A38" s="181"/>
      <c r="B38" s="182"/>
      <c r="C38" s="190" t="s">
        <v>195</v>
      </c>
      <c r="D38" s="24">
        <v>620</v>
      </c>
      <c r="E38" s="202">
        <v>620</v>
      </c>
      <c r="F38" s="24">
        <v>119790</v>
      </c>
      <c r="G38" s="222">
        <v>119790</v>
      </c>
      <c r="H38" s="215">
        <v>1000</v>
      </c>
      <c r="I38" s="174"/>
      <c r="K38" s="2"/>
      <c r="L38" s="2"/>
      <c r="M38" s="2"/>
    </row>
    <row r="39" spans="1:13" s="13" customFormat="1" ht="21" customHeight="1" x14ac:dyDescent="0.2">
      <c r="A39" s="181"/>
      <c r="B39" s="182"/>
      <c r="C39" s="190" t="s">
        <v>196</v>
      </c>
      <c r="D39" s="24">
        <v>350</v>
      </c>
      <c r="E39" s="202">
        <f>350+700</f>
        <v>1050</v>
      </c>
      <c r="F39" s="24">
        <f>30000+141570</f>
        <v>171570</v>
      </c>
      <c r="G39" s="222">
        <f>30000+141570</f>
        <v>171570</v>
      </c>
      <c r="H39" s="215">
        <v>1700</v>
      </c>
      <c r="I39" s="174"/>
      <c r="K39" s="2"/>
      <c r="L39" s="2"/>
      <c r="M39" s="2"/>
    </row>
    <row r="40" spans="1:13" s="13" customFormat="1" ht="30" customHeight="1" x14ac:dyDescent="0.2">
      <c r="A40" s="181"/>
      <c r="B40" s="182"/>
      <c r="C40" s="190" t="s">
        <v>343</v>
      </c>
      <c r="D40" s="24"/>
      <c r="E40" s="202"/>
      <c r="F40" s="24"/>
      <c r="G40" s="222"/>
      <c r="H40" s="215">
        <v>300</v>
      </c>
      <c r="I40" s="174"/>
      <c r="K40" s="2"/>
      <c r="L40" s="2"/>
      <c r="M40" s="2"/>
    </row>
    <row r="41" spans="1:13" s="13" customFormat="1" ht="30" customHeight="1" x14ac:dyDescent="0.2">
      <c r="A41" s="181">
        <v>2212</v>
      </c>
      <c r="B41" s="182">
        <v>6121</v>
      </c>
      <c r="C41" s="190" t="s">
        <v>376</v>
      </c>
      <c r="D41" s="24"/>
      <c r="E41" s="202"/>
      <c r="F41" s="24"/>
      <c r="G41" s="222"/>
      <c r="H41" s="215">
        <v>465</v>
      </c>
      <c r="I41" s="174"/>
      <c r="K41" s="2"/>
      <c r="L41" s="2"/>
      <c r="M41" s="2"/>
    </row>
    <row r="42" spans="1:13" s="13" customFormat="1" ht="30.75" customHeight="1" x14ac:dyDescent="0.2">
      <c r="A42" s="181">
        <v>2212</v>
      </c>
      <c r="B42" s="182">
        <v>6122</v>
      </c>
      <c r="C42" s="190" t="s">
        <v>274</v>
      </c>
      <c r="D42" s="24">
        <v>0</v>
      </c>
      <c r="E42" s="202">
        <v>160</v>
      </c>
      <c r="F42" s="24">
        <v>126966</v>
      </c>
      <c r="G42" s="222">
        <v>126966</v>
      </c>
      <c r="H42" s="215">
        <v>0</v>
      </c>
      <c r="I42" s="174"/>
      <c r="K42" s="2"/>
      <c r="L42" s="2"/>
      <c r="M42" s="2"/>
    </row>
    <row r="43" spans="1:13" s="13" customFormat="1" ht="30.75" customHeight="1" x14ac:dyDescent="0.2">
      <c r="A43" s="181">
        <v>2212</v>
      </c>
      <c r="B43" s="182">
        <v>6122</v>
      </c>
      <c r="C43" s="190" t="s">
        <v>342</v>
      </c>
      <c r="D43" s="24"/>
      <c r="E43" s="202"/>
      <c r="F43" s="24"/>
      <c r="G43" s="222"/>
      <c r="H43" s="215">
        <v>300</v>
      </c>
      <c r="I43" s="174"/>
      <c r="K43" s="2"/>
      <c r="L43" s="2"/>
      <c r="M43" s="2"/>
    </row>
    <row r="44" spans="1:13" s="13" customFormat="1" ht="15.75" x14ac:dyDescent="0.25">
      <c r="A44" s="65">
        <v>2212</v>
      </c>
      <c r="B44" s="25"/>
      <c r="C44" s="192" t="s">
        <v>11</v>
      </c>
      <c r="D44" s="68">
        <f>SUM(D7:D43)</f>
        <v>58968</v>
      </c>
      <c r="E44" s="68">
        <f>SUM(E7:E43)</f>
        <v>58709.4</v>
      </c>
      <c r="F44" s="68">
        <f>SUM(F7:F43)</f>
        <v>29118677.200000003</v>
      </c>
      <c r="G44" s="238">
        <f>SUM(G7:G43)</f>
        <v>29212808.200000003</v>
      </c>
      <c r="H44" s="219">
        <f>SUM(H7:H43)</f>
        <v>33934</v>
      </c>
      <c r="I44" s="243">
        <f>H44</f>
        <v>33934</v>
      </c>
      <c r="K44" s="2"/>
      <c r="L44" s="2"/>
      <c r="M44" s="2"/>
    </row>
    <row r="45" spans="1:13" s="13" customFormat="1" x14ac:dyDescent="0.2">
      <c r="A45" s="22"/>
      <c r="B45" s="25"/>
      <c r="C45" s="193"/>
      <c r="D45" s="24"/>
      <c r="E45" s="173"/>
      <c r="F45" s="24"/>
      <c r="G45" s="235"/>
      <c r="H45" s="215"/>
      <c r="I45" s="174"/>
      <c r="K45" s="2"/>
      <c r="L45" s="2"/>
      <c r="M45" s="2"/>
    </row>
    <row r="46" spans="1:13" s="13" customFormat="1" x14ac:dyDescent="0.2">
      <c r="A46" s="22">
        <v>2310</v>
      </c>
      <c r="B46" s="25">
        <v>5171</v>
      </c>
      <c r="C46" s="193" t="s">
        <v>10</v>
      </c>
      <c r="D46" s="24">
        <v>50</v>
      </c>
      <c r="E46" s="173">
        <v>50</v>
      </c>
      <c r="F46" s="24">
        <v>21995</v>
      </c>
      <c r="G46" s="222">
        <v>21995</v>
      </c>
      <c r="H46" s="215">
        <v>50</v>
      </c>
      <c r="I46" s="174"/>
      <c r="K46" s="2"/>
      <c r="L46" s="2"/>
      <c r="M46" s="2"/>
    </row>
    <row r="47" spans="1:13" s="13" customFormat="1" ht="15.75" x14ac:dyDescent="0.25">
      <c r="A47" s="65">
        <v>2310</v>
      </c>
      <c r="B47" s="66"/>
      <c r="C47" s="192" t="s">
        <v>12</v>
      </c>
      <c r="D47" s="68">
        <f>SUM(D46:D46)</f>
        <v>50</v>
      </c>
      <c r="E47" s="177">
        <f>SUM(E46:E46)</f>
        <v>50</v>
      </c>
      <c r="F47" s="64">
        <f>SUM(F46:F46)</f>
        <v>21995</v>
      </c>
      <c r="G47" s="234">
        <f>SUM(G46)</f>
        <v>21995</v>
      </c>
      <c r="H47" s="219">
        <f>SUM(H46)</f>
        <v>50</v>
      </c>
      <c r="I47" s="243">
        <f>H47</f>
        <v>50</v>
      </c>
      <c r="K47" s="2"/>
      <c r="L47" s="2"/>
      <c r="M47" s="2"/>
    </row>
    <row r="48" spans="1:13" s="13" customFormat="1" x14ac:dyDescent="0.2">
      <c r="A48" s="22"/>
      <c r="B48" s="25"/>
      <c r="C48" s="193"/>
      <c r="D48" s="24"/>
      <c r="E48" s="173"/>
      <c r="F48" s="24"/>
      <c r="G48" s="235"/>
      <c r="H48" s="215"/>
      <c r="I48" s="174"/>
      <c r="K48" s="2"/>
      <c r="L48" s="2"/>
      <c r="M48" s="2"/>
    </row>
    <row r="49" spans="1:13" s="13" customFormat="1" x14ac:dyDescent="0.2">
      <c r="A49" s="22">
        <v>2321</v>
      </c>
      <c r="B49" s="25">
        <v>5139</v>
      </c>
      <c r="C49" s="193" t="s">
        <v>8</v>
      </c>
      <c r="D49" s="24">
        <v>10</v>
      </c>
      <c r="E49" s="173">
        <v>10</v>
      </c>
      <c r="F49" s="24">
        <v>0</v>
      </c>
      <c r="G49" s="222">
        <v>0</v>
      </c>
      <c r="H49" s="215">
        <v>10</v>
      </c>
      <c r="I49" s="174"/>
      <c r="K49" s="2"/>
      <c r="L49" s="2"/>
      <c r="M49" s="2"/>
    </row>
    <row r="50" spans="1:13" s="13" customFormat="1" x14ac:dyDescent="0.2">
      <c r="A50" s="22">
        <v>2321</v>
      </c>
      <c r="B50" s="25">
        <v>5169</v>
      </c>
      <c r="C50" s="193" t="s">
        <v>109</v>
      </c>
      <c r="D50" s="24">
        <v>5</v>
      </c>
      <c r="E50" s="173">
        <v>5</v>
      </c>
      <c r="F50" s="24">
        <v>4500</v>
      </c>
      <c r="G50" s="222">
        <v>4500</v>
      </c>
      <c r="H50" s="215">
        <v>5</v>
      </c>
      <c r="I50" s="174"/>
      <c r="K50" s="2"/>
      <c r="L50" s="2"/>
      <c r="M50" s="2"/>
    </row>
    <row r="51" spans="1:13" s="13" customFormat="1" x14ac:dyDescent="0.2">
      <c r="A51" s="22">
        <v>2321</v>
      </c>
      <c r="B51" s="25">
        <v>5169</v>
      </c>
      <c r="C51" s="193" t="s">
        <v>152</v>
      </c>
      <c r="D51" s="24">
        <v>100</v>
      </c>
      <c r="E51" s="173">
        <v>100</v>
      </c>
      <c r="F51" s="24">
        <v>0</v>
      </c>
      <c r="G51" s="222">
        <v>0</v>
      </c>
      <c r="H51" s="215">
        <v>100</v>
      </c>
      <c r="I51" s="174"/>
      <c r="K51" s="2"/>
      <c r="L51" s="2"/>
      <c r="M51" s="2"/>
    </row>
    <row r="52" spans="1:13" s="12" customFormat="1" x14ac:dyDescent="0.2">
      <c r="A52" s="22">
        <v>2321</v>
      </c>
      <c r="B52" s="25">
        <v>5171</v>
      </c>
      <c r="C52" s="193" t="s">
        <v>151</v>
      </c>
      <c r="D52" s="24">
        <v>100</v>
      </c>
      <c r="E52" s="173">
        <v>100</v>
      </c>
      <c r="F52" s="24">
        <v>13987</v>
      </c>
      <c r="G52" s="222">
        <v>13987</v>
      </c>
      <c r="H52" s="215">
        <v>100</v>
      </c>
      <c r="I52" s="174"/>
      <c r="J52" s="13"/>
      <c r="K52" s="2"/>
      <c r="L52" s="2"/>
      <c r="M52" s="2"/>
    </row>
    <row r="53" spans="1:13" s="12" customFormat="1" ht="30" x14ac:dyDescent="0.2">
      <c r="A53" s="22">
        <v>2321</v>
      </c>
      <c r="B53" s="25">
        <v>6121</v>
      </c>
      <c r="C53" s="193" t="s">
        <v>356</v>
      </c>
      <c r="D53" s="24">
        <v>0</v>
      </c>
      <c r="E53" s="173">
        <v>0</v>
      </c>
      <c r="F53" s="24">
        <v>0</v>
      </c>
      <c r="G53" s="222">
        <v>0</v>
      </c>
      <c r="H53" s="215">
        <v>700</v>
      </c>
      <c r="I53" s="174"/>
      <c r="J53" s="13"/>
      <c r="K53" s="2"/>
      <c r="L53" s="2"/>
      <c r="M53" s="2"/>
    </row>
    <row r="54" spans="1:13" s="12" customFormat="1" ht="15.75" x14ac:dyDescent="0.25">
      <c r="A54" s="65">
        <v>2321</v>
      </c>
      <c r="B54" s="66"/>
      <c r="C54" s="192" t="s">
        <v>13</v>
      </c>
      <c r="D54" s="68">
        <f>SUM(D49:D53)</f>
        <v>215</v>
      </c>
      <c r="E54" s="203">
        <f>SUM(E49:E53)</f>
        <v>215</v>
      </c>
      <c r="F54" s="68">
        <f>SUM(F49:F53)</f>
        <v>18487</v>
      </c>
      <c r="G54" s="234">
        <f>SUM(G49:G53)</f>
        <v>18487</v>
      </c>
      <c r="H54" s="219">
        <f>SUM(H49:H53)</f>
        <v>915</v>
      </c>
      <c r="I54" s="243">
        <f>H54</f>
        <v>915</v>
      </c>
      <c r="J54" s="13"/>
      <c r="K54" s="2"/>
      <c r="L54" s="2"/>
      <c r="M54" s="2"/>
    </row>
    <row r="55" spans="1:13" s="12" customFormat="1" x14ac:dyDescent="0.2">
      <c r="A55" s="22"/>
      <c r="B55" s="25"/>
      <c r="C55" s="193"/>
      <c r="D55" s="24"/>
      <c r="E55" s="173"/>
      <c r="F55" s="24"/>
      <c r="G55" s="235"/>
      <c r="H55" s="215"/>
      <c r="I55" s="174"/>
      <c r="J55" s="13"/>
      <c r="K55" s="2"/>
      <c r="L55" s="2"/>
      <c r="M55" s="2"/>
    </row>
    <row r="56" spans="1:13" s="12" customFormat="1" x14ac:dyDescent="0.2">
      <c r="A56" s="22">
        <v>2334</v>
      </c>
      <c r="B56" s="170">
        <v>5139</v>
      </c>
      <c r="C56" s="193" t="s">
        <v>8</v>
      </c>
      <c r="D56" s="24">
        <v>5</v>
      </c>
      <c r="E56" s="173">
        <v>5</v>
      </c>
      <c r="F56" s="24">
        <v>0</v>
      </c>
      <c r="G56" s="222">
        <v>0</v>
      </c>
      <c r="H56" s="215">
        <v>5</v>
      </c>
      <c r="I56" s="174"/>
      <c r="J56" s="13"/>
      <c r="K56" s="2"/>
      <c r="L56" s="2"/>
      <c r="M56" s="2"/>
    </row>
    <row r="57" spans="1:13" s="12" customFormat="1" ht="30" x14ac:dyDescent="0.2">
      <c r="A57" s="181">
        <v>2334</v>
      </c>
      <c r="B57" s="182">
        <v>5154</v>
      </c>
      <c r="C57" s="190" t="s">
        <v>158</v>
      </c>
      <c r="D57" s="24">
        <v>5</v>
      </c>
      <c r="E57" s="202">
        <v>5</v>
      </c>
      <c r="F57" s="24">
        <v>0</v>
      </c>
      <c r="G57" s="222">
        <v>0</v>
      </c>
      <c r="H57" s="215">
        <v>5</v>
      </c>
      <c r="I57" s="174"/>
      <c r="J57" s="13"/>
      <c r="K57" s="2"/>
      <c r="L57" s="2"/>
      <c r="M57" s="2"/>
    </row>
    <row r="58" spans="1:13" s="12" customFormat="1" x14ac:dyDescent="0.2">
      <c r="A58" s="181">
        <v>2334</v>
      </c>
      <c r="B58" s="182">
        <v>5169</v>
      </c>
      <c r="C58" s="190" t="s">
        <v>344</v>
      </c>
      <c r="D58" s="24">
        <v>5</v>
      </c>
      <c r="E58" s="202">
        <v>5</v>
      </c>
      <c r="F58" s="24">
        <v>0</v>
      </c>
      <c r="G58" s="222">
        <v>0</v>
      </c>
      <c r="H58" s="215">
        <v>5</v>
      </c>
      <c r="I58" s="174"/>
      <c r="J58" s="13"/>
      <c r="K58" s="2"/>
      <c r="L58" s="2"/>
      <c r="M58" s="2"/>
    </row>
    <row r="59" spans="1:13" s="12" customFormat="1" x14ac:dyDescent="0.2">
      <c r="A59" s="181">
        <v>2334</v>
      </c>
      <c r="B59" s="182">
        <v>5171</v>
      </c>
      <c r="C59" s="190" t="s">
        <v>104</v>
      </c>
      <c r="D59" s="24">
        <v>15</v>
      </c>
      <c r="E59" s="202">
        <v>15</v>
      </c>
      <c r="F59" s="24">
        <v>0</v>
      </c>
      <c r="G59" s="222">
        <v>0</v>
      </c>
      <c r="H59" s="215">
        <v>15</v>
      </c>
      <c r="I59" s="174"/>
      <c r="J59" s="13"/>
      <c r="K59" s="2"/>
      <c r="L59" s="2"/>
      <c r="M59" s="2"/>
    </row>
    <row r="60" spans="1:13" s="12" customFormat="1" ht="30" x14ac:dyDescent="0.2">
      <c r="A60" s="181">
        <v>2334</v>
      </c>
      <c r="B60" s="182">
        <v>6121</v>
      </c>
      <c r="C60" s="190" t="s">
        <v>360</v>
      </c>
      <c r="D60" s="24">
        <v>50</v>
      </c>
      <c r="E60" s="202">
        <v>50</v>
      </c>
      <c r="F60" s="24">
        <v>0</v>
      </c>
      <c r="G60" s="222">
        <v>0</v>
      </c>
      <c r="H60" s="215">
        <v>100</v>
      </c>
      <c r="I60" s="174"/>
      <c r="J60" s="13"/>
      <c r="K60" s="2"/>
      <c r="L60" s="2"/>
      <c r="M60" s="2"/>
    </row>
    <row r="61" spans="1:13" s="12" customFormat="1" ht="30" x14ac:dyDescent="0.2">
      <c r="A61" s="181">
        <v>2334</v>
      </c>
      <c r="B61" s="182">
        <v>6129</v>
      </c>
      <c r="C61" s="190" t="s">
        <v>227</v>
      </c>
      <c r="D61" s="24">
        <v>2000</v>
      </c>
      <c r="E61" s="202">
        <v>2000</v>
      </c>
      <c r="F61" s="24">
        <v>0</v>
      </c>
      <c r="G61" s="222">
        <v>0</v>
      </c>
      <c r="H61" s="215">
        <v>2200</v>
      </c>
      <c r="I61" s="174"/>
      <c r="J61" s="13"/>
      <c r="K61" s="2"/>
      <c r="L61" s="2"/>
      <c r="M61" s="2"/>
    </row>
    <row r="62" spans="1:13" s="12" customFormat="1" ht="46.5" customHeight="1" x14ac:dyDescent="0.2">
      <c r="A62" s="181">
        <v>2334</v>
      </c>
      <c r="B62" s="182">
        <v>6129</v>
      </c>
      <c r="C62" s="190" t="s">
        <v>230</v>
      </c>
      <c r="D62" s="24">
        <v>0</v>
      </c>
      <c r="E62" s="202">
        <v>1297.4000000000001</v>
      </c>
      <c r="F62" s="24">
        <v>0</v>
      </c>
      <c r="G62" s="222">
        <v>0</v>
      </c>
      <c r="H62" s="215">
        <v>0</v>
      </c>
      <c r="I62" s="174"/>
      <c r="J62" s="13"/>
      <c r="K62" s="2"/>
      <c r="L62" s="2"/>
      <c r="M62" s="2"/>
    </row>
    <row r="63" spans="1:13" s="12" customFormat="1" ht="15.75" x14ac:dyDescent="0.25">
      <c r="A63" s="65">
        <v>2334</v>
      </c>
      <c r="B63" s="66"/>
      <c r="C63" s="192" t="s">
        <v>46</v>
      </c>
      <c r="D63" s="68">
        <f>SUM(D56:D62)</f>
        <v>2080</v>
      </c>
      <c r="E63" s="203">
        <f>SUM(E56:E62)</f>
        <v>3377.4</v>
      </c>
      <c r="F63" s="68">
        <f>SUM(F56:F62)</f>
        <v>0</v>
      </c>
      <c r="G63" s="234">
        <f>SUM(G56:G62)</f>
        <v>0</v>
      </c>
      <c r="H63" s="219">
        <f>SUM(H56:H62)</f>
        <v>2330</v>
      </c>
      <c r="I63" s="243">
        <f>H63</f>
        <v>2330</v>
      </c>
      <c r="J63" s="13"/>
      <c r="K63" s="2"/>
      <c r="L63" s="2"/>
      <c r="M63" s="2"/>
    </row>
    <row r="64" spans="1:13" s="12" customFormat="1" x14ac:dyDescent="0.2">
      <c r="A64" s="22"/>
      <c r="B64" s="25"/>
      <c r="C64" s="193"/>
      <c r="D64" s="24"/>
      <c r="E64" s="173"/>
      <c r="F64" s="24"/>
      <c r="G64" s="235"/>
      <c r="H64" s="215"/>
      <c r="I64" s="174"/>
      <c r="J64" s="13"/>
      <c r="K64" s="2"/>
      <c r="L64" s="2"/>
      <c r="M64" s="2"/>
    </row>
    <row r="65" spans="1:13" s="12" customFormat="1" x14ac:dyDescent="0.2">
      <c r="A65" s="22">
        <v>3111</v>
      </c>
      <c r="B65" s="25">
        <v>5169</v>
      </c>
      <c r="C65" s="193" t="s">
        <v>92</v>
      </c>
      <c r="D65" s="24">
        <v>34</v>
      </c>
      <c r="E65" s="173">
        <v>34</v>
      </c>
      <c r="F65" s="24">
        <v>33396</v>
      </c>
      <c r="G65" s="222">
        <v>33396</v>
      </c>
      <c r="H65" s="215">
        <v>34</v>
      </c>
      <c r="I65" s="174"/>
      <c r="J65" s="13"/>
      <c r="K65" s="2"/>
      <c r="L65" s="2"/>
      <c r="M65" s="2"/>
    </row>
    <row r="66" spans="1:13" s="12" customFormat="1" x14ac:dyDescent="0.2">
      <c r="A66" s="22">
        <v>3111</v>
      </c>
      <c r="B66" s="25">
        <v>5194</v>
      </c>
      <c r="C66" s="193" t="s">
        <v>31</v>
      </c>
      <c r="D66" s="24">
        <v>6</v>
      </c>
      <c r="E66" s="173">
        <v>6</v>
      </c>
      <c r="F66" s="24">
        <v>4950</v>
      </c>
      <c r="G66" s="222">
        <v>4950</v>
      </c>
      <c r="H66" s="215">
        <v>7</v>
      </c>
      <c r="I66" s="174"/>
      <c r="J66" s="13"/>
      <c r="K66" s="2"/>
      <c r="L66" s="2"/>
      <c r="M66" s="2"/>
    </row>
    <row r="67" spans="1:13" s="12" customFormat="1" ht="30" x14ac:dyDescent="0.2">
      <c r="A67" s="22">
        <v>3111</v>
      </c>
      <c r="B67" s="25">
        <v>5331</v>
      </c>
      <c r="C67" s="193" t="s">
        <v>101</v>
      </c>
      <c r="D67" s="24">
        <v>1484</v>
      </c>
      <c r="E67" s="173">
        <v>1484</v>
      </c>
      <c r="F67" s="24">
        <v>1360300</v>
      </c>
      <c r="G67" s="222">
        <v>1484000</v>
      </c>
      <c r="H67" s="215">
        <f>1484+29</f>
        <v>1513</v>
      </c>
      <c r="I67" s="174"/>
      <c r="J67" s="13"/>
      <c r="K67" s="2"/>
      <c r="L67" s="2"/>
      <c r="M67" s="2"/>
    </row>
    <row r="68" spans="1:13" s="12" customFormat="1" ht="45" x14ac:dyDescent="0.2">
      <c r="A68" s="22">
        <v>3111</v>
      </c>
      <c r="B68" s="25">
        <v>5331</v>
      </c>
      <c r="C68" s="193" t="s">
        <v>189</v>
      </c>
      <c r="D68" s="24">
        <v>170</v>
      </c>
      <c r="E68" s="173">
        <v>170</v>
      </c>
      <c r="F68" s="24">
        <v>0</v>
      </c>
      <c r="G68" s="222">
        <v>0</v>
      </c>
      <c r="H68" s="215">
        <v>170</v>
      </c>
      <c r="I68" s="174"/>
      <c r="J68" s="13"/>
      <c r="K68" s="2"/>
      <c r="L68" s="2"/>
      <c r="M68" s="2"/>
    </row>
    <row r="69" spans="1:13" s="12" customFormat="1" ht="30" x14ac:dyDescent="0.2">
      <c r="A69" s="22">
        <v>3111</v>
      </c>
      <c r="B69" s="25">
        <v>5336</v>
      </c>
      <c r="C69" s="193" t="s">
        <v>253</v>
      </c>
      <c r="D69" s="24">
        <v>0</v>
      </c>
      <c r="E69" s="173">
        <f>464.3+346.3+60.5</f>
        <v>871.1</v>
      </c>
      <c r="F69" s="24">
        <v>871100</v>
      </c>
      <c r="G69" s="222">
        <v>871100</v>
      </c>
      <c r="H69" s="215">
        <v>0</v>
      </c>
      <c r="I69" s="174"/>
      <c r="J69" s="13"/>
      <c r="K69" s="2"/>
      <c r="L69" s="2"/>
      <c r="M69" s="2"/>
    </row>
    <row r="70" spans="1:13" s="12" customFormat="1" ht="30" x14ac:dyDescent="0.2">
      <c r="A70" s="22">
        <v>3111</v>
      </c>
      <c r="B70" s="25">
        <v>5336</v>
      </c>
      <c r="C70" s="193" t="s">
        <v>287</v>
      </c>
      <c r="D70" s="24">
        <v>0</v>
      </c>
      <c r="E70" s="173">
        <v>138.1</v>
      </c>
      <c r="F70" s="24">
        <v>138066</v>
      </c>
      <c r="G70" s="222">
        <v>138066</v>
      </c>
      <c r="H70" s="215">
        <v>0</v>
      </c>
      <c r="I70" s="174"/>
      <c r="J70" s="13"/>
      <c r="K70" s="2"/>
      <c r="L70" s="2"/>
      <c r="M70" s="2"/>
    </row>
    <row r="71" spans="1:13" s="12" customFormat="1" ht="30" x14ac:dyDescent="0.2">
      <c r="A71" s="22">
        <v>3111</v>
      </c>
      <c r="B71" s="25">
        <v>5336</v>
      </c>
      <c r="C71" s="193" t="s">
        <v>286</v>
      </c>
      <c r="D71" s="24">
        <v>0</v>
      </c>
      <c r="E71" s="173">
        <v>138.1</v>
      </c>
      <c r="F71" s="24">
        <v>138066</v>
      </c>
      <c r="G71" s="222">
        <v>138066</v>
      </c>
      <c r="H71" s="215">
        <v>0</v>
      </c>
      <c r="I71" s="174"/>
      <c r="J71" s="13"/>
      <c r="K71" s="2"/>
      <c r="L71" s="2"/>
      <c r="M71" s="2"/>
    </row>
    <row r="72" spans="1:13" s="12" customFormat="1" ht="45" x14ac:dyDescent="0.2">
      <c r="A72" s="22">
        <v>3111</v>
      </c>
      <c r="B72" s="25">
        <v>5336</v>
      </c>
      <c r="C72" s="193" t="s">
        <v>292</v>
      </c>
      <c r="D72" s="24">
        <v>0</v>
      </c>
      <c r="E72" s="173">
        <v>151.19999999999999</v>
      </c>
      <c r="F72" s="24">
        <v>0</v>
      </c>
      <c r="G72" s="222">
        <v>0</v>
      </c>
      <c r="H72" s="215">
        <v>0</v>
      </c>
      <c r="I72" s="174"/>
      <c r="J72" s="13"/>
      <c r="K72" s="2"/>
      <c r="L72" s="2"/>
      <c r="M72" s="2"/>
    </row>
    <row r="73" spans="1:13" s="12" customFormat="1" ht="45" x14ac:dyDescent="0.2">
      <c r="A73" s="22">
        <v>3111</v>
      </c>
      <c r="B73" s="25">
        <v>5336</v>
      </c>
      <c r="C73" s="193" t="s">
        <v>293</v>
      </c>
      <c r="D73" s="24">
        <v>0</v>
      </c>
      <c r="E73" s="173">
        <v>151.19999999999999</v>
      </c>
      <c r="F73" s="24">
        <v>0</v>
      </c>
      <c r="G73" s="222">
        <v>0</v>
      </c>
      <c r="H73" s="215">
        <v>0</v>
      </c>
      <c r="I73" s="174"/>
      <c r="J73" s="13"/>
      <c r="K73" s="2"/>
      <c r="L73" s="2"/>
      <c r="M73" s="2"/>
    </row>
    <row r="74" spans="1:13" s="12" customFormat="1" x14ac:dyDescent="0.2">
      <c r="A74" s="22">
        <v>3111</v>
      </c>
      <c r="B74" s="25">
        <v>6121</v>
      </c>
      <c r="C74" s="193" t="s">
        <v>326</v>
      </c>
      <c r="D74" s="24">
        <v>0</v>
      </c>
      <c r="E74" s="173">
        <f>500-270</f>
        <v>230</v>
      </c>
      <c r="F74" s="24">
        <v>222853.32</v>
      </c>
      <c r="G74" s="222">
        <v>222853.32</v>
      </c>
      <c r="H74" s="215">
        <v>0</v>
      </c>
      <c r="I74" s="174"/>
      <c r="J74" s="13"/>
      <c r="K74" s="2"/>
      <c r="L74" s="2"/>
      <c r="M74" s="2"/>
    </row>
    <row r="75" spans="1:13" s="12" customFormat="1" ht="30" x14ac:dyDescent="0.2">
      <c r="A75" s="22">
        <v>3111</v>
      </c>
      <c r="B75" s="25">
        <v>6121</v>
      </c>
      <c r="C75" s="193" t="s">
        <v>327</v>
      </c>
      <c r="D75" s="24"/>
      <c r="E75" s="173"/>
      <c r="F75" s="24"/>
      <c r="G75" s="222"/>
      <c r="H75" s="215">
        <v>2000</v>
      </c>
      <c r="I75" s="174"/>
      <c r="J75" s="13"/>
      <c r="K75" s="2"/>
      <c r="L75" s="2"/>
      <c r="M75" s="2"/>
    </row>
    <row r="76" spans="1:13" s="12" customFormat="1" ht="30" x14ac:dyDescent="0.2">
      <c r="A76" s="22">
        <v>3111</v>
      </c>
      <c r="B76" s="25">
        <v>6129</v>
      </c>
      <c r="C76" s="193" t="s">
        <v>283</v>
      </c>
      <c r="D76" s="24">
        <v>0</v>
      </c>
      <c r="E76" s="173">
        <f>500-189.5</f>
        <v>310.5</v>
      </c>
      <c r="F76" s="24">
        <v>304888</v>
      </c>
      <c r="G76" s="222">
        <v>304888</v>
      </c>
      <c r="H76" s="216">
        <v>0</v>
      </c>
      <c r="I76" s="174"/>
      <c r="J76" s="13"/>
      <c r="K76" s="2"/>
      <c r="L76" s="2"/>
      <c r="M76" s="2"/>
    </row>
    <row r="77" spans="1:13" s="12" customFormat="1" ht="30" x14ac:dyDescent="0.2">
      <c r="A77" s="22">
        <v>3111</v>
      </c>
      <c r="B77" s="25">
        <v>6129</v>
      </c>
      <c r="C77" s="193" t="s">
        <v>284</v>
      </c>
      <c r="D77" s="24">
        <v>0</v>
      </c>
      <c r="E77" s="173">
        <v>189.5</v>
      </c>
      <c r="F77" s="24">
        <v>189500</v>
      </c>
      <c r="G77" s="222">
        <v>189500</v>
      </c>
      <c r="H77" s="216">
        <v>0</v>
      </c>
      <c r="I77" s="174"/>
      <c r="J77" s="13"/>
      <c r="K77" s="2"/>
      <c r="L77" s="2"/>
      <c r="M77" s="2"/>
    </row>
    <row r="78" spans="1:13" s="12" customFormat="1" ht="15.75" x14ac:dyDescent="0.25">
      <c r="A78" s="65">
        <v>3111</v>
      </c>
      <c r="B78" s="66"/>
      <c r="C78" s="192" t="s">
        <v>108</v>
      </c>
      <c r="D78" s="68">
        <f>SUM(D65:D77)</f>
        <v>1694</v>
      </c>
      <c r="E78" s="203">
        <f>SUM(E65:E77)</f>
        <v>3873.6999999999994</v>
      </c>
      <c r="F78" s="64">
        <f>SUM(F65:F77)</f>
        <v>3263119.32</v>
      </c>
      <c r="G78" s="234">
        <f>SUM(G65:G77)</f>
        <v>3386819.32</v>
      </c>
      <c r="H78" s="219">
        <f>SUM(H65:H77)</f>
        <v>3724</v>
      </c>
      <c r="I78" s="243">
        <f>H78</f>
        <v>3724</v>
      </c>
      <c r="J78" s="13"/>
      <c r="K78" s="2"/>
      <c r="L78" s="2"/>
      <c r="M78" s="2"/>
    </row>
    <row r="79" spans="1:13" ht="15.75" x14ac:dyDescent="0.25">
      <c r="A79" s="65"/>
      <c r="B79" s="66"/>
      <c r="C79" s="192"/>
      <c r="D79" s="68"/>
      <c r="E79" s="203"/>
      <c r="F79" s="64"/>
      <c r="G79" s="234"/>
      <c r="H79" s="215"/>
      <c r="I79" s="174"/>
    </row>
    <row r="80" spans="1:13" ht="15.75" x14ac:dyDescent="0.25">
      <c r="A80" s="65">
        <v>3113</v>
      </c>
      <c r="B80" s="66"/>
      <c r="C80" s="192" t="s">
        <v>178</v>
      </c>
      <c r="D80" s="68"/>
      <c r="E80" s="203"/>
      <c r="F80" s="64"/>
      <c r="G80" s="236"/>
      <c r="H80" s="215"/>
      <c r="I80" s="174"/>
    </row>
    <row r="81" spans="1:13" s="12" customFormat="1" x14ac:dyDescent="0.2">
      <c r="A81" s="181">
        <v>3113</v>
      </c>
      <c r="B81" s="182">
        <v>5137</v>
      </c>
      <c r="C81" s="190" t="s">
        <v>288</v>
      </c>
      <c r="D81" s="24">
        <v>0</v>
      </c>
      <c r="E81" s="173">
        <v>27</v>
      </c>
      <c r="F81" s="24">
        <v>36991</v>
      </c>
      <c r="G81" s="222">
        <v>36991</v>
      </c>
      <c r="H81" s="215">
        <v>0</v>
      </c>
      <c r="I81" s="174"/>
      <c r="J81" s="13"/>
      <c r="K81" s="13"/>
      <c r="L81" s="13"/>
      <c r="M81" s="13"/>
    </row>
    <row r="82" spans="1:13" s="12" customFormat="1" x14ac:dyDescent="0.2">
      <c r="A82" s="181">
        <v>3113</v>
      </c>
      <c r="B82" s="182">
        <v>5139</v>
      </c>
      <c r="C82" s="190" t="s">
        <v>289</v>
      </c>
      <c r="D82" s="24">
        <v>0</v>
      </c>
      <c r="E82" s="173">
        <v>13</v>
      </c>
      <c r="F82" s="24">
        <v>0</v>
      </c>
      <c r="G82" s="222">
        <v>0</v>
      </c>
      <c r="H82" s="215">
        <v>0</v>
      </c>
      <c r="I82" s="174"/>
      <c r="J82" s="13"/>
      <c r="K82" s="13"/>
      <c r="L82" s="13"/>
      <c r="M82" s="13"/>
    </row>
    <row r="83" spans="1:13" s="122" customFormat="1" x14ac:dyDescent="0.2">
      <c r="A83" s="181">
        <v>3113</v>
      </c>
      <c r="B83" s="182">
        <v>5169</v>
      </c>
      <c r="C83" s="190" t="s">
        <v>98</v>
      </c>
      <c r="D83" s="24">
        <v>42</v>
      </c>
      <c r="E83" s="173">
        <v>42</v>
      </c>
      <c r="F83" s="24">
        <f>3630+41745-3630</f>
        <v>41745</v>
      </c>
      <c r="G83" s="222">
        <f>3630+41745-3630</f>
        <v>41745</v>
      </c>
      <c r="H83" s="215">
        <v>42</v>
      </c>
      <c r="I83" s="174"/>
      <c r="J83" s="13"/>
      <c r="K83" s="123"/>
      <c r="L83" s="123"/>
      <c r="M83" s="123"/>
    </row>
    <row r="84" spans="1:13" s="122" customFormat="1" x14ac:dyDescent="0.2">
      <c r="A84" s="181">
        <v>3113</v>
      </c>
      <c r="B84" s="182">
        <v>5171</v>
      </c>
      <c r="C84" s="190" t="s">
        <v>285</v>
      </c>
      <c r="D84" s="24">
        <v>0</v>
      </c>
      <c r="E84" s="202">
        <v>76</v>
      </c>
      <c r="F84" s="24">
        <v>0</v>
      </c>
      <c r="G84" s="222">
        <v>0</v>
      </c>
      <c r="H84" s="215">
        <v>76</v>
      </c>
      <c r="I84" s="174"/>
      <c r="J84" s="13"/>
      <c r="K84" s="123"/>
      <c r="L84" s="123"/>
      <c r="M84" s="123"/>
    </row>
    <row r="85" spans="1:13" x14ac:dyDescent="0.2">
      <c r="A85" s="181">
        <v>3113</v>
      </c>
      <c r="B85" s="182">
        <v>5194</v>
      </c>
      <c r="C85" s="190" t="s">
        <v>198</v>
      </c>
      <c r="D85" s="24">
        <v>20</v>
      </c>
      <c r="E85" s="202">
        <v>20</v>
      </c>
      <c r="F85" s="24">
        <v>16050</v>
      </c>
      <c r="G85" s="222">
        <v>16050</v>
      </c>
      <c r="H85" s="215">
        <v>20</v>
      </c>
      <c r="I85" s="174"/>
    </row>
    <row r="86" spans="1:13" s="13" customFormat="1" ht="30" x14ac:dyDescent="0.2">
      <c r="A86" s="181">
        <v>3113</v>
      </c>
      <c r="B86" s="182">
        <v>5331</v>
      </c>
      <c r="C86" s="190" t="s">
        <v>381</v>
      </c>
      <c r="D86" s="24">
        <v>4400</v>
      </c>
      <c r="E86" s="202">
        <v>4400</v>
      </c>
      <c r="F86" s="24">
        <v>4033300</v>
      </c>
      <c r="G86" s="222">
        <v>4400000</v>
      </c>
      <c r="H86" s="215">
        <v>4500</v>
      </c>
      <c r="I86" s="174"/>
      <c r="K86" s="2"/>
      <c r="L86" s="2"/>
      <c r="M86" s="2"/>
    </row>
    <row r="87" spans="1:13" s="13" customFormat="1" ht="30" x14ac:dyDescent="0.2">
      <c r="A87" s="181">
        <v>3113</v>
      </c>
      <c r="B87" s="182">
        <v>5331</v>
      </c>
      <c r="C87" s="190" t="s">
        <v>382</v>
      </c>
      <c r="D87" s="24"/>
      <c r="E87" s="202"/>
      <c r="F87" s="24"/>
      <c r="G87" s="222"/>
      <c r="H87" s="215">
        <v>20</v>
      </c>
      <c r="I87" s="174"/>
      <c r="K87" s="2"/>
      <c r="L87" s="2"/>
      <c r="M87" s="2"/>
    </row>
    <row r="88" spans="1:13" s="13" customFormat="1" ht="60" x14ac:dyDescent="0.2">
      <c r="A88" s="181">
        <v>3113</v>
      </c>
      <c r="B88" s="182">
        <v>5331</v>
      </c>
      <c r="C88" s="194" t="s">
        <v>197</v>
      </c>
      <c r="D88" s="24">
        <v>250</v>
      </c>
      <c r="E88" s="202">
        <v>250</v>
      </c>
      <c r="F88" s="24">
        <v>0</v>
      </c>
      <c r="G88" s="222">
        <v>225110</v>
      </c>
      <c r="H88" s="229"/>
      <c r="I88" s="174"/>
      <c r="K88" s="2"/>
      <c r="L88" s="2"/>
      <c r="M88" s="2"/>
    </row>
    <row r="89" spans="1:13" s="13" customFormat="1" ht="30" x14ac:dyDescent="0.2">
      <c r="A89" s="181">
        <v>3113</v>
      </c>
      <c r="B89" s="182">
        <v>5336</v>
      </c>
      <c r="C89" s="193" t="s">
        <v>253</v>
      </c>
      <c r="D89" s="24">
        <v>0</v>
      </c>
      <c r="E89" s="202">
        <f>1107.3+178.7</f>
        <v>1286</v>
      </c>
      <c r="F89" s="24">
        <v>1286000</v>
      </c>
      <c r="G89" s="222">
        <v>1286000</v>
      </c>
      <c r="H89" s="215">
        <v>0</v>
      </c>
      <c r="I89" s="174"/>
      <c r="K89" s="2"/>
      <c r="L89" s="2"/>
      <c r="M89" s="2"/>
    </row>
    <row r="90" spans="1:13" s="13" customFormat="1" ht="44.25" customHeight="1" x14ac:dyDescent="0.2">
      <c r="A90" s="181">
        <v>3113</v>
      </c>
      <c r="B90" s="182">
        <v>5336</v>
      </c>
      <c r="C90" s="165" t="s">
        <v>307</v>
      </c>
      <c r="D90" s="24">
        <v>0</v>
      </c>
      <c r="E90" s="202">
        <v>1508.3</v>
      </c>
      <c r="F90" s="24">
        <v>1508239.01</v>
      </c>
      <c r="G90" s="222">
        <v>1508239.01</v>
      </c>
      <c r="H90" s="215">
        <v>0</v>
      </c>
      <c r="I90" s="174"/>
      <c r="K90" s="2"/>
      <c r="L90" s="2"/>
      <c r="M90" s="2"/>
    </row>
    <row r="91" spans="1:13" s="13" customFormat="1" ht="30" x14ac:dyDescent="0.2">
      <c r="A91" s="181">
        <v>3113</v>
      </c>
      <c r="B91" s="182">
        <v>5336</v>
      </c>
      <c r="C91" s="165" t="s">
        <v>308</v>
      </c>
      <c r="D91" s="24">
        <v>0</v>
      </c>
      <c r="E91" s="202">
        <v>1508.2</v>
      </c>
      <c r="F91" s="24">
        <v>1508238.99</v>
      </c>
      <c r="G91" s="222">
        <v>1508238.99</v>
      </c>
      <c r="H91" s="215">
        <v>0</v>
      </c>
      <c r="I91" s="174"/>
      <c r="K91" s="2"/>
      <c r="L91" s="2"/>
      <c r="M91" s="2"/>
    </row>
    <row r="92" spans="1:13" s="13" customFormat="1" ht="45" x14ac:dyDescent="0.2">
      <c r="A92" s="181">
        <v>3113</v>
      </c>
      <c r="B92" s="182">
        <v>5336</v>
      </c>
      <c r="C92" s="28" t="s">
        <v>255</v>
      </c>
      <c r="D92" s="24">
        <v>0</v>
      </c>
      <c r="E92" s="202">
        <v>231.5</v>
      </c>
      <c r="F92" s="24">
        <f>231515.25</f>
        <v>231515.25</v>
      </c>
      <c r="G92" s="222">
        <f>231515.25</f>
        <v>231515.25</v>
      </c>
      <c r="H92" s="215">
        <v>0</v>
      </c>
      <c r="I92" s="174"/>
      <c r="K92" s="2"/>
      <c r="L92" s="2"/>
      <c r="M92" s="2"/>
    </row>
    <row r="93" spans="1:13" s="13" customFormat="1" ht="45" x14ac:dyDescent="0.2">
      <c r="A93" s="181">
        <v>3113</v>
      </c>
      <c r="B93" s="182">
        <v>5336</v>
      </c>
      <c r="C93" s="28" t="s">
        <v>256</v>
      </c>
      <c r="D93" s="24">
        <v>0</v>
      </c>
      <c r="E93" s="202">
        <v>231.5</v>
      </c>
      <c r="F93" s="24">
        <f>231515.25</f>
        <v>231515.25</v>
      </c>
      <c r="G93" s="222">
        <f>231515.25</f>
        <v>231515.25</v>
      </c>
      <c r="H93" s="215">
        <v>0</v>
      </c>
      <c r="I93" s="174"/>
      <c r="K93" s="2"/>
      <c r="L93" s="2"/>
      <c r="M93" s="2"/>
    </row>
    <row r="94" spans="1:13" s="13" customFormat="1" ht="45" x14ac:dyDescent="0.2">
      <c r="A94" s="181">
        <v>3113</v>
      </c>
      <c r="B94" s="182">
        <v>5336</v>
      </c>
      <c r="C94" s="193" t="s">
        <v>295</v>
      </c>
      <c r="D94" s="24">
        <v>0</v>
      </c>
      <c r="E94" s="202">
        <v>486.2</v>
      </c>
      <c r="F94" s="24">
        <v>486200</v>
      </c>
      <c r="G94" s="222">
        <v>486200</v>
      </c>
      <c r="H94" s="215">
        <v>0</v>
      </c>
      <c r="I94" s="174"/>
      <c r="K94" s="2"/>
      <c r="L94" s="2"/>
      <c r="M94" s="2"/>
    </row>
    <row r="95" spans="1:13" s="13" customFormat="1" ht="45" x14ac:dyDescent="0.2">
      <c r="A95" s="181">
        <v>3113</v>
      </c>
      <c r="B95" s="182">
        <v>5336</v>
      </c>
      <c r="C95" s="193" t="s">
        <v>294</v>
      </c>
      <c r="D95" s="24">
        <v>0</v>
      </c>
      <c r="E95" s="202">
        <v>486.2</v>
      </c>
      <c r="F95" s="24">
        <v>486200</v>
      </c>
      <c r="G95" s="222">
        <v>486200</v>
      </c>
      <c r="H95" s="215">
        <v>0</v>
      </c>
      <c r="I95" s="174"/>
      <c r="K95" s="2"/>
      <c r="L95" s="2"/>
      <c r="M95" s="2"/>
    </row>
    <row r="96" spans="1:13" s="13" customFormat="1" ht="45" x14ac:dyDescent="0.2">
      <c r="A96" s="181">
        <v>3113</v>
      </c>
      <c r="B96" s="182">
        <v>5336</v>
      </c>
      <c r="C96" s="28" t="s">
        <v>291</v>
      </c>
      <c r="D96" s="24">
        <v>0</v>
      </c>
      <c r="E96" s="202">
        <v>549</v>
      </c>
      <c r="F96" s="24">
        <v>508750</v>
      </c>
      <c r="G96" s="222">
        <v>508750</v>
      </c>
      <c r="H96" s="215">
        <v>0</v>
      </c>
      <c r="I96" s="174"/>
      <c r="K96" s="2"/>
      <c r="L96" s="2"/>
      <c r="M96" s="2"/>
    </row>
    <row r="97" spans="1:13" s="13" customFormat="1" ht="45" x14ac:dyDescent="0.2">
      <c r="A97" s="181">
        <v>3113</v>
      </c>
      <c r="B97" s="182">
        <v>5336</v>
      </c>
      <c r="C97" s="28" t="s">
        <v>290</v>
      </c>
      <c r="D97" s="24">
        <v>0</v>
      </c>
      <c r="E97" s="202">
        <v>439.2</v>
      </c>
      <c r="F97" s="24">
        <v>407000</v>
      </c>
      <c r="G97" s="222">
        <v>407000</v>
      </c>
      <c r="H97" s="215">
        <v>0</v>
      </c>
      <c r="I97" s="174"/>
      <c r="K97" s="2"/>
      <c r="L97" s="2"/>
      <c r="M97" s="2"/>
    </row>
    <row r="98" spans="1:13" s="13" customFormat="1" ht="45" x14ac:dyDescent="0.2">
      <c r="A98" s="181">
        <v>3113</v>
      </c>
      <c r="B98" s="182">
        <v>5336</v>
      </c>
      <c r="C98" s="28" t="s">
        <v>297</v>
      </c>
      <c r="D98" s="24">
        <v>0</v>
      </c>
      <c r="E98" s="202">
        <v>409.7</v>
      </c>
      <c r="F98" s="24">
        <v>0</v>
      </c>
      <c r="G98" s="222">
        <v>0</v>
      </c>
      <c r="H98" s="215">
        <v>0</v>
      </c>
      <c r="I98" s="174"/>
      <c r="K98" s="2"/>
      <c r="L98" s="2"/>
      <c r="M98" s="2"/>
    </row>
    <row r="99" spans="1:13" s="13" customFormat="1" ht="45" x14ac:dyDescent="0.2">
      <c r="A99" s="181">
        <v>3113</v>
      </c>
      <c r="B99" s="182">
        <v>5336</v>
      </c>
      <c r="C99" s="28" t="s">
        <v>298</v>
      </c>
      <c r="D99" s="24">
        <v>0</v>
      </c>
      <c r="E99" s="202">
        <v>327.8</v>
      </c>
      <c r="F99" s="24">
        <v>0</v>
      </c>
      <c r="G99" s="222">
        <v>0</v>
      </c>
      <c r="H99" s="215">
        <v>0</v>
      </c>
      <c r="I99" s="174"/>
      <c r="K99" s="2"/>
      <c r="L99" s="2"/>
      <c r="M99" s="2"/>
    </row>
    <row r="100" spans="1:13" s="13" customFormat="1" ht="30" x14ac:dyDescent="0.2">
      <c r="A100" s="181">
        <v>3113</v>
      </c>
      <c r="B100" s="182">
        <v>6356</v>
      </c>
      <c r="C100" s="190" t="s">
        <v>271</v>
      </c>
      <c r="D100" s="24">
        <v>0</v>
      </c>
      <c r="E100" s="202">
        <v>54</v>
      </c>
      <c r="F100" s="24">
        <v>54000</v>
      </c>
      <c r="G100" s="222">
        <v>54000</v>
      </c>
      <c r="H100" s="215">
        <v>0</v>
      </c>
      <c r="I100" s="174"/>
      <c r="K100" s="2"/>
      <c r="L100" s="2"/>
      <c r="M100" s="2"/>
    </row>
    <row r="101" spans="1:13" s="13" customFormat="1" ht="30" x14ac:dyDescent="0.2">
      <c r="A101" s="181">
        <v>3113</v>
      </c>
      <c r="B101" s="182">
        <v>6356</v>
      </c>
      <c r="C101" s="190" t="s">
        <v>272</v>
      </c>
      <c r="D101" s="24">
        <v>0</v>
      </c>
      <c r="E101" s="202">
        <v>43.2</v>
      </c>
      <c r="F101" s="24">
        <v>43200</v>
      </c>
      <c r="G101" s="222">
        <v>43200</v>
      </c>
      <c r="H101" s="215">
        <v>0</v>
      </c>
      <c r="I101" s="174"/>
      <c r="K101" s="2"/>
      <c r="L101" s="2"/>
      <c r="M101" s="2"/>
    </row>
    <row r="102" spans="1:13" s="13" customFormat="1" ht="30" x14ac:dyDescent="0.2">
      <c r="A102" s="181">
        <v>3113</v>
      </c>
      <c r="B102" s="182">
        <v>6356</v>
      </c>
      <c r="C102" s="190" t="s">
        <v>299</v>
      </c>
      <c r="D102" s="24">
        <v>0</v>
      </c>
      <c r="E102" s="202">
        <v>153.1</v>
      </c>
      <c r="F102" s="24">
        <v>0</v>
      </c>
      <c r="G102" s="222">
        <v>0</v>
      </c>
      <c r="H102" s="215">
        <v>0</v>
      </c>
      <c r="I102" s="174"/>
      <c r="K102" s="2"/>
      <c r="L102" s="2"/>
      <c r="M102" s="2"/>
    </row>
    <row r="103" spans="1:13" s="13" customFormat="1" ht="45" x14ac:dyDescent="0.2">
      <c r="A103" s="181">
        <v>3113</v>
      </c>
      <c r="B103" s="182">
        <v>6356</v>
      </c>
      <c r="C103" s="190" t="s">
        <v>300</v>
      </c>
      <c r="D103" s="24">
        <v>0</v>
      </c>
      <c r="E103" s="202">
        <v>122.5</v>
      </c>
      <c r="F103" s="24">
        <v>0</v>
      </c>
      <c r="G103" s="222">
        <v>0</v>
      </c>
      <c r="H103" s="215">
        <v>0</v>
      </c>
      <c r="I103" s="174"/>
      <c r="K103" s="2"/>
      <c r="L103" s="2"/>
      <c r="M103" s="2"/>
    </row>
    <row r="104" spans="1:13" s="13" customFormat="1" x14ac:dyDescent="0.2">
      <c r="A104" s="181"/>
      <c r="B104" s="182"/>
      <c r="C104" s="190"/>
      <c r="D104" s="24"/>
      <c r="E104" s="202"/>
      <c r="F104" s="24"/>
      <c r="G104" s="222"/>
      <c r="H104" s="215"/>
      <c r="I104" s="174"/>
      <c r="K104" s="2"/>
      <c r="L104" s="2"/>
      <c r="M104" s="2"/>
    </row>
    <row r="105" spans="1:13" s="10" customFormat="1" ht="15.75" x14ac:dyDescent="0.25">
      <c r="A105" s="181">
        <v>3113</v>
      </c>
      <c r="B105" s="182">
        <v>6121</v>
      </c>
      <c r="C105" s="191" t="s">
        <v>159</v>
      </c>
      <c r="D105" s="24"/>
      <c r="E105" s="202"/>
      <c r="F105" s="144"/>
      <c r="G105" s="237"/>
      <c r="H105" s="215"/>
      <c r="I105" s="174"/>
      <c r="J105" s="13"/>
      <c r="K105" s="8"/>
      <c r="L105" s="8"/>
      <c r="M105" s="8"/>
    </row>
    <row r="106" spans="1:13" s="10" customFormat="1" ht="15.75" x14ac:dyDescent="0.25">
      <c r="A106" s="181">
        <v>3113</v>
      </c>
      <c r="B106" s="182">
        <v>6121</v>
      </c>
      <c r="C106" s="191" t="s">
        <v>217</v>
      </c>
      <c r="D106" s="24"/>
      <c r="E106" s="202"/>
      <c r="F106" s="24"/>
      <c r="G106" s="222"/>
      <c r="H106" s="215"/>
      <c r="I106" s="174"/>
      <c r="J106" s="13"/>
      <c r="K106" s="8"/>
      <c r="L106" s="8"/>
      <c r="M106" s="8"/>
    </row>
    <row r="107" spans="1:13" s="12" customFormat="1" x14ac:dyDescent="0.2">
      <c r="A107" s="181"/>
      <c r="B107" s="182"/>
      <c r="C107" s="190" t="s">
        <v>171</v>
      </c>
      <c r="D107" s="24">
        <v>242</v>
      </c>
      <c r="E107" s="202">
        <v>242</v>
      </c>
      <c r="F107" s="24">
        <v>0</v>
      </c>
      <c r="G107" s="222">
        <v>0</v>
      </c>
      <c r="H107" s="215">
        <v>2500</v>
      </c>
      <c r="I107" s="174"/>
      <c r="J107" s="13"/>
      <c r="K107" s="13"/>
      <c r="L107" s="13"/>
      <c r="M107" s="13"/>
    </row>
    <row r="108" spans="1:13" s="12" customFormat="1" x14ac:dyDescent="0.2">
      <c r="A108" s="181"/>
      <c r="B108" s="182"/>
      <c r="C108" s="190" t="s">
        <v>226</v>
      </c>
      <c r="D108" s="24">
        <v>0</v>
      </c>
      <c r="E108" s="202">
        <v>2158.8000000000002</v>
      </c>
      <c r="F108" s="24">
        <f>500</f>
        <v>500</v>
      </c>
      <c r="G108" s="222">
        <f>500</f>
        <v>500</v>
      </c>
      <c r="H108" s="215">
        <v>0</v>
      </c>
      <c r="I108" s="174"/>
      <c r="J108" s="13"/>
      <c r="K108" s="13"/>
      <c r="L108" s="13"/>
      <c r="M108" s="13"/>
    </row>
    <row r="109" spans="1:13" s="10" customFormat="1" ht="15.75" x14ac:dyDescent="0.25">
      <c r="A109" s="181">
        <v>3113</v>
      </c>
      <c r="B109" s="182">
        <v>6121</v>
      </c>
      <c r="C109" s="191" t="s">
        <v>173</v>
      </c>
      <c r="D109" s="24"/>
      <c r="E109" s="202"/>
      <c r="F109" s="24"/>
      <c r="G109" s="222"/>
      <c r="H109" s="215"/>
      <c r="I109" s="174"/>
      <c r="J109" s="13"/>
      <c r="K109" s="8"/>
      <c r="L109" s="8"/>
      <c r="M109" s="8"/>
    </row>
    <row r="110" spans="1:13" s="10" customFormat="1" x14ac:dyDescent="0.2">
      <c r="A110" s="181"/>
      <c r="B110" s="182"/>
      <c r="C110" s="190" t="s">
        <v>171</v>
      </c>
      <c r="D110" s="24">
        <v>6000</v>
      </c>
      <c r="E110" s="202">
        <f>6000-4000+270+90</f>
        <v>2360</v>
      </c>
      <c r="F110" s="24">
        <v>2316507.7999999998</v>
      </c>
      <c r="G110" s="222">
        <v>2316507.7999999998</v>
      </c>
      <c r="H110" s="215">
        <v>0</v>
      </c>
      <c r="I110" s="174"/>
      <c r="J110" s="13"/>
      <c r="K110" s="8"/>
      <c r="L110" s="8"/>
      <c r="M110" s="8"/>
    </row>
    <row r="111" spans="1:13" s="10" customFormat="1" x14ac:dyDescent="0.2">
      <c r="A111" s="181"/>
      <c r="B111" s="182"/>
      <c r="C111" s="190" t="s">
        <v>226</v>
      </c>
      <c r="D111" s="24">
        <v>0</v>
      </c>
      <c r="E111" s="202">
        <v>5066.2</v>
      </c>
      <c r="F111" s="24">
        <f>18150+13310+596685.44+10315+8470+713093.09+8470+709043.85+8470+1753548.37+53966+8470+1164227.55</f>
        <v>5066219.3</v>
      </c>
      <c r="G111" s="222">
        <f>18150+13310+596685.44+10315+8470+713093.09+8470+709043.85+8470+1753548.37+53966+8470+1164227.55</f>
        <v>5066219.3</v>
      </c>
      <c r="H111" s="215">
        <v>0</v>
      </c>
      <c r="I111" s="174"/>
      <c r="J111" s="13"/>
      <c r="K111" s="8"/>
      <c r="L111" s="8"/>
      <c r="M111" s="8"/>
    </row>
    <row r="112" spans="1:13" s="10" customFormat="1" ht="31.5" x14ac:dyDescent="0.25">
      <c r="A112" s="181">
        <v>3113</v>
      </c>
      <c r="B112" s="182">
        <v>6121</v>
      </c>
      <c r="C112" s="204" t="s">
        <v>216</v>
      </c>
      <c r="D112" s="24"/>
      <c r="E112" s="202"/>
      <c r="F112" s="24"/>
      <c r="G112" s="222"/>
      <c r="H112" s="215"/>
      <c r="I112" s="174"/>
      <c r="J112" s="13"/>
      <c r="K112" s="8"/>
      <c r="L112" s="8"/>
      <c r="M112" s="8"/>
    </row>
    <row r="113" spans="1:13" s="10" customFormat="1" x14ac:dyDescent="0.2">
      <c r="A113" s="181"/>
      <c r="B113" s="182"/>
      <c r="C113" s="190" t="s">
        <v>171</v>
      </c>
      <c r="D113" s="24">
        <v>0</v>
      </c>
      <c r="E113" s="202">
        <v>1500</v>
      </c>
      <c r="F113" s="24">
        <f>198+242+199+302.5</f>
        <v>941.5</v>
      </c>
      <c r="G113" s="222">
        <f>198+242+199+302.5</f>
        <v>941.5</v>
      </c>
      <c r="H113" s="215">
        <v>500</v>
      </c>
      <c r="I113" s="174"/>
      <c r="J113" s="13"/>
      <c r="K113" s="8"/>
      <c r="L113" s="8"/>
      <c r="M113" s="8"/>
    </row>
    <row r="114" spans="1:13" s="10" customFormat="1" x14ac:dyDescent="0.2">
      <c r="A114" s="181"/>
      <c r="B114" s="182"/>
      <c r="C114" s="190" t="s">
        <v>226</v>
      </c>
      <c r="D114" s="24">
        <v>0</v>
      </c>
      <c r="E114" s="202">
        <v>1092.0999999999999</v>
      </c>
      <c r="F114" s="24">
        <f>1000+14520+56010+7260+84652+6050+96800+3630+21780+30000</f>
        <v>321702</v>
      </c>
      <c r="G114" s="222">
        <v>1092100</v>
      </c>
      <c r="H114" s="215">
        <v>0</v>
      </c>
      <c r="I114" s="174"/>
      <c r="J114" s="13"/>
      <c r="K114" s="8"/>
      <c r="L114" s="8"/>
      <c r="M114" s="8"/>
    </row>
    <row r="115" spans="1:13" s="10" customFormat="1" ht="15.75" x14ac:dyDescent="0.25">
      <c r="A115" s="70">
        <v>3113</v>
      </c>
      <c r="B115" s="71"/>
      <c r="C115" s="195" t="s">
        <v>88</v>
      </c>
      <c r="D115" s="64">
        <f>SUM(D81:D114)</f>
        <v>10954</v>
      </c>
      <c r="E115" s="64">
        <f t="shared" ref="E115:F115" si="0">SUM(E81:E114)</f>
        <v>25083.500000000004</v>
      </c>
      <c r="F115" s="64">
        <f t="shared" si="0"/>
        <v>18584815.100000001</v>
      </c>
      <c r="G115" s="234">
        <f>SUM(G81:G114)</f>
        <v>19947023.100000001</v>
      </c>
      <c r="H115" s="219">
        <f>SUM(H81:H114)</f>
        <v>7658</v>
      </c>
      <c r="I115" s="243">
        <f>H115</f>
        <v>7658</v>
      </c>
      <c r="J115" s="13"/>
      <c r="K115" s="8"/>
      <c r="L115" s="8"/>
      <c r="M115" s="8"/>
    </row>
    <row r="116" spans="1:13" ht="15.75" x14ac:dyDescent="0.25">
      <c r="A116" s="65"/>
      <c r="B116" s="66"/>
      <c r="C116" s="192"/>
      <c r="D116" s="68"/>
      <c r="E116" s="173"/>
      <c r="F116" s="24"/>
      <c r="G116" s="235"/>
      <c r="H116" s="215"/>
      <c r="I116" s="174"/>
    </row>
    <row r="117" spans="1:13" x14ac:dyDescent="0.2">
      <c r="A117" s="69">
        <v>3314</v>
      </c>
      <c r="B117" s="185">
        <v>5011</v>
      </c>
      <c r="C117" s="188" t="s">
        <v>21</v>
      </c>
      <c r="D117" s="24">
        <v>302</v>
      </c>
      <c r="E117" s="173">
        <f>302+62.5</f>
        <v>364.5</v>
      </c>
      <c r="F117" s="24">
        <v>259955</v>
      </c>
      <c r="G117" s="222">
        <v>364500</v>
      </c>
      <c r="H117" s="215">
        <v>420</v>
      </c>
      <c r="I117" s="174"/>
    </row>
    <row r="118" spans="1:13" s="13" customFormat="1" x14ac:dyDescent="0.2">
      <c r="A118" s="186">
        <v>3314</v>
      </c>
      <c r="B118" s="187">
        <v>5021</v>
      </c>
      <c r="C118" s="196" t="s">
        <v>24</v>
      </c>
      <c r="D118" s="24">
        <v>26</v>
      </c>
      <c r="E118" s="202">
        <f>26+12+25</f>
        <v>63</v>
      </c>
      <c r="F118" s="246">
        <v>23245</v>
      </c>
      <c r="G118" s="222">
        <v>63000</v>
      </c>
      <c r="H118" s="215">
        <v>50</v>
      </c>
      <c r="I118" s="174"/>
      <c r="K118" s="2"/>
      <c r="L118" s="2"/>
      <c r="M118" s="2"/>
    </row>
    <row r="119" spans="1:13" s="13" customFormat="1" x14ac:dyDescent="0.2">
      <c r="A119" s="186">
        <v>3314</v>
      </c>
      <c r="B119" s="187">
        <v>5031</v>
      </c>
      <c r="C119" s="196" t="s">
        <v>47</v>
      </c>
      <c r="D119" s="24">
        <v>85</v>
      </c>
      <c r="E119" s="202">
        <f>85+16.3</f>
        <v>101.3</v>
      </c>
      <c r="F119" s="246">
        <v>64990</v>
      </c>
      <c r="G119" s="222">
        <v>101300</v>
      </c>
      <c r="H119" s="215">
        <v>105</v>
      </c>
      <c r="I119" s="174"/>
      <c r="K119" s="2"/>
      <c r="L119" s="2"/>
      <c r="M119" s="2"/>
    </row>
    <row r="120" spans="1:13" s="13" customFormat="1" x14ac:dyDescent="0.2">
      <c r="A120" s="186">
        <v>3314</v>
      </c>
      <c r="B120" s="187">
        <v>5032</v>
      </c>
      <c r="C120" s="196" t="s">
        <v>45</v>
      </c>
      <c r="D120" s="24">
        <v>29</v>
      </c>
      <c r="E120" s="202">
        <f>29+5.6</f>
        <v>34.6</v>
      </c>
      <c r="F120" s="246">
        <v>23395</v>
      </c>
      <c r="G120" s="222">
        <v>34600</v>
      </c>
      <c r="H120" s="215">
        <v>38</v>
      </c>
      <c r="I120" s="174"/>
      <c r="K120" s="2"/>
      <c r="L120" s="2"/>
      <c r="M120" s="2"/>
    </row>
    <row r="121" spans="1:13" s="13" customFormat="1" x14ac:dyDescent="0.2">
      <c r="A121" s="186">
        <v>3314</v>
      </c>
      <c r="B121" s="187">
        <v>5136</v>
      </c>
      <c r="C121" s="196" t="s">
        <v>84</v>
      </c>
      <c r="D121" s="24">
        <v>35</v>
      </c>
      <c r="E121" s="202">
        <v>35</v>
      </c>
      <c r="F121" s="246">
        <v>14956</v>
      </c>
      <c r="G121" s="222">
        <v>35000</v>
      </c>
      <c r="H121" s="215">
        <v>45</v>
      </c>
      <c r="I121" s="174"/>
      <c r="K121" s="2"/>
      <c r="L121" s="2"/>
      <c r="M121" s="2"/>
    </row>
    <row r="122" spans="1:13" s="13" customFormat="1" x14ac:dyDescent="0.2">
      <c r="A122" s="186"/>
      <c r="B122" s="187"/>
      <c r="C122" s="196" t="s">
        <v>259</v>
      </c>
      <c r="D122" s="24">
        <v>0</v>
      </c>
      <c r="E122" s="202">
        <v>15.4</v>
      </c>
      <c r="F122" s="246">
        <v>15400</v>
      </c>
      <c r="G122" s="222">
        <v>15400</v>
      </c>
      <c r="H122" s="215">
        <v>0</v>
      </c>
      <c r="I122" s="174"/>
      <c r="K122" s="2"/>
      <c r="L122" s="2"/>
      <c r="M122" s="2"/>
    </row>
    <row r="123" spans="1:13" s="13" customFormat="1" x14ac:dyDescent="0.2">
      <c r="A123" s="186">
        <v>3314</v>
      </c>
      <c r="B123" s="187">
        <v>5136</v>
      </c>
      <c r="C123" s="196" t="s">
        <v>242</v>
      </c>
      <c r="D123" s="24">
        <v>0</v>
      </c>
      <c r="E123" s="202">
        <v>50</v>
      </c>
      <c r="F123" s="246">
        <v>35000</v>
      </c>
      <c r="G123" s="222">
        <v>35000</v>
      </c>
      <c r="H123" s="215">
        <v>15</v>
      </c>
      <c r="I123" s="174"/>
      <c r="K123" s="2"/>
      <c r="L123" s="2"/>
      <c r="M123" s="2"/>
    </row>
    <row r="124" spans="1:13" s="13" customFormat="1" x14ac:dyDescent="0.2">
      <c r="A124" s="186">
        <v>3314</v>
      </c>
      <c r="B124" s="187">
        <v>5137</v>
      </c>
      <c r="C124" s="196" t="s">
        <v>221</v>
      </c>
      <c r="D124" s="24">
        <v>50</v>
      </c>
      <c r="E124" s="202">
        <v>50</v>
      </c>
      <c r="F124" s="246">
        <v>27696</v>
      </c>
      <c r="G124" s="222">
        <v>27696</v>
      </c>
      <c r="H124" s="215">
        <v>300</v>
      </c>
      <c r="I124" s="174"/>
      <c r="K124" s="2"/>
      <c r="L124" s="2"/>
      <c r="M124" s="2"/>
    </row>
    <row r="125" spans="1:13" s="13" customFormat="1" ht="30" x14ac:dyDescent="0.2">
      <c r="A125" s="186">
        <v>3314</v>
      </c>
      <c r="B125" s="187">
        <v>5137</v>
      </c>
      <c r="C125" s="196" t="s">
        <v>222</v>
      </c>
      <c r="D125" s="24">
        <v>3</v>
      </c>
      <c r="E125" s="202">
        <v>3</v>
      </c>
      <c r="F125" s="246">
        <v>3120</v>
      </c>
      <c r="G125" s="222">
        <v>3120</v>
      </c>
      <c r="H125" s="215">
        <v>0</v>
      </c>
      <c r="I125" s="174"/>
      <c r="K125" s="2"/>
      <c r="L125" s="2"/>
      <c r="M125" s="2"/>
    </row>
    <row r="126" spans="1:13" s="13" customFormat="1" x14ac:dyDescent="0.2">
      <c r="A126" s="181">
        <v>3314</v>
      </c>
      <c r="B126" s="182">
        <v>5139</v>
      </c>
      <c r="C126" s="190" t="s">
        <v>345</v>
      </c>
      <c r="D126" s="24">
        <v>5</v>
      </c>
      <c r="E126" s="202">
        <v>5</v>
      </c>
      <c r="F126" s="246">
        <v>21626</v>
      </c>
      <c r="G126" s="222">
        <v>21626</v>
      </c>
      <c r="H126" s="215">
        <v>30</v>
      </c>
      <c r="I126" s="174"/>
      <c r="K126" s="2"/>
      <c r="L126" s="2"/>
      <c r="M126" s="2"/>
    </row>
    <row r="127" spans="1:13" s="13" customFormat="1" x14ac:dyDescent="0.2">
      <c r="A127" s="181">
        <v>3314</v>
      </c>
      <c r="B127" s="182">
        <v>5151</v>
      </c>
      <c r="C127" s="190" t="s">
        <v>15</v>
      </c>
      <c r="D127" s="24">
        <v>12</v>
      </c>
      <c r="E127" s="202">
        <v>12</v>
      </c>
      <c r="F127" s="246">
        <v>15917</v>
      </c>
      <c r="G127" s="251">
        <v>15917</v>
      </c>
      <c r="H127" s="215">
        <v>20</v>
      </c>
      <c r="I127" s="174"/>
      <c r="K127" s="2"/>
      <c r="L127" s="2"/>
      <c r="M127" s="2"/>
    </row>
    <row r="128" spans="1:13" s="13" customFormat="1" x14ac:dyDescent="0.2">
      <c r="A128" s="181">
        <v>3314</v>
      </c>
      <c r="B128" s="182">
        <v>5153</v>
      </c>
      <c r="C128" s="190" t="s">
        <v>16</v>
      </c>
      <c r="D128" s="24">
        <v>105</v>
      </c>
      <c r="E128" s="202">
        <v>105</v>
      </c>
      <c r="F128" s="246">
        <v>99600</v>
      </c>
      <c r="G128" s="251">
        <v>99600</v>
      </c>
      <c r="H128" s="215">
        <v>112</v>
      </c>
      <c r="I128" s="174"/>
      <c r="K128" s="2"/>
      <c r="L128" s="2"/>
      <c r="M128" s="2"/>
    </row>
    <row r="129" spans="1:13" s="13" customFormat="1" x14ac:dyDescent="0.2">
      <c r="A129" s="181">
        <v>3314</v>
      </c>
      <c r="B129" s="182">
        <v>5154</v>
      </c>
      <c r="C129" s="190" t="s">
        <v>17</v>
      </c>
      <c r="D129" s="24">
        <v>40</v>
      </c>
      <c r="E129" s="202">
        <v>40</v>
      </c>
      <c r="F129" s="246">
        <v>22410</v>
      </c>
      <c r="G129" s="222">
        <v>22410</v>
      </c>
      <c r="H129" s="215">
        <v>40</v>
      </c>
      <c r="I129" s="174"/>
      <c r="K129" s="2"/>
      <c r="L129" s="2"/>
      <c r="M129" s="2"/>
    </row>
    <row r="130" spans="1:13" s="13" customFormat="1" x14ac:dyDescent="0.2">
      <c r="A130" s="181">
        <v>3314</v>
      </c>
      <c r="B130" s="182">
        <v>5162</v>
      </c>
      <c r="C130" s="190" t="s">
        <v>218</v>
      </c>
      <c r="D130" s="24">
        <v>14</v>
      </c>
      <c r="E130" s="202">
        <v>14</v>
      </c>
      <c r="F130" s="246">
        <v>11043.96</v>
      </c>
      <c r="G130" s="222">
        <v>13000</v>
      </c>
      <c r="H130" s="215">
        <v>14</v>
      </c>
      <c r="I130" s="174"/>
      <c r="K130" s="2"/>
      <c r="L130" s="2"/>
      <c r="M130" s="2"/>
    </row>
    <row r="131" spans="1:13" s="13" customFormat="1" x14ac:dyDescent="0.2">
      <c r="A131" s="181">
        <v>3314</v>
      </c>
      <c r="B131" s="182">
        <v>5168</v>
      </c>
      <c r="C131" s="190" t="s">
        <v>116</v>
      </c>
      <c r="D131" s="24">
        <v>23</v>
      </c>
      <c r="E131" s="202">
        <v>23</v>
      </c>
      <c r="F131" s="246">
        <v>17087</v>
      </c>
      <c r="G131" s="222">
        <v>21000</v>
      </c>
      <c r="H131" s="215">
        <v>23</v>
      </c>
      <c r="I131" s="174"/>
      <c r="K131" s="2"/>
      <c r="L131" s="2"/>
      <c r="M131" s="2"/>
    </row>
    <row r="132" spans="1:13" s="13" customFormat="1" ht="30" x14ac:dyDescent="0.2">
      <c r="A132" s="181">
        <v>3314</v>
      </c>
      <c r="B132" s="182">
        <v>5169</v>
      </c>
      <c r="C132" s="190" t="s">
        <v>355</v>
      </c>
      <c r="D132" s="24">
        <v>15</v>
      </c>
      <c r="E132" s="202">
        <f>15+39</f>
        <v>54</v>
      </c>
      <c r="F132" s="246">
        <v>43873.61</v>
      </c>
      <c r="G132" s="222">
        <v>43873.61</v>
      </c>
      <c r="H132" s="215">
        <v>20</v>
      </c>
      <c r="I132" s="174"/>
      <c r="K132" s="2"/>
      <c r="L132" s="2"/>
      <c r="M132" s="2"/>
    </row>
    <row r="133" spans="1:13" s="13" customFormat="1" ht="30" x14ac:dyDescent="0.2">
      <c r="A133" s="181">
        <v>3314</v>
      </c>
      <c r="B133" s="182">
        <v>5169</v>
      </c>
      <c r="C133" s="190" t="s">
        <v>354</v>
      </c>
      <c r="D133" s="24"/>
      <c r="E133" s="202"/>
      <c r="F133" s="246"/>
      <c r="G133" s="222"/>
      <c r="H133" s="215">
        <v>200</v>
      </c>
      <c r="I133" s="174"/>
      <c r="K133" s="2"/>
      <c r="L133" s="2"/>
      <c r="M133" s="2"/>
    </row>
    <row r="134" spans="1:13" s="13" customFormat="1" x14ac:dyDescent="0.2">
      <c r="A134" s="181">
        <v>3314</v>
      </c>
      <c r="B134" s="182">
        <v>5171</v>
      </c>
      <c r="C134" s="190" t="s">
        <v>199</v>
      </c>
      <c r="D134" s="24">
        <v>20</v>
      </c>
      <c r="E134" s="202">
        <f>20+16.2</f>
        <v>36.200000000000003</v>
      </c>
      <c r="F134" s="246">
        <v>27091.3</v>
      </c>
      <c r="G134" s="222">
        <v>27091.3</v>
      </c>
      <c r="H134" s="215">
        <v>50</v>
      </c>
      <c r="I134" s="174"/>
      <c r="K134" s="2"/>
      <c r="L134" s="2"/>
      <c r="M134" s="2"/>
    </row>
    <row r="135" spans="1:13" s="3" customFormat="1" ht="15.75" x14ac:dyDescent="0.25">
      <c r="A135" s="65">
        <v>3314</v>
      </c>
      <c r="B135" s="66"/>
      <c r="C135" s="192" t="s">
        <v>22</v>
      </c>
      <c r="D135" s="68">
        <f>SUM(D117:D134)</f>
        <v>764</v>
      </c>
      <c r="E135" s="203">
        <f>SUM(E117:E134)</f>
        <v>1006</v>
      </c>
      <c r="F135" s="68">
        <f>SUM(F117:F134)</f>
        <v>726405.87</v>
      </c>
      <c r="G135" s="234">
        <f>SUM(G117:G134)</f>
        <v>944133.91</v>
      </c>
      <c r="H135" s="219">
        <f>SUM(H117:H134)</f>
        <v>1482</v>
      </c>
      <c r="I135" s="243">
        <f>H135</f>
        <v>1482</v>
      </c>
      <c r="J135" s="13"/>
      <c r="K135" s="5"/>
      <c r="L135" s="5"/>
      <c r="M135" s="5"/>
    </row>
    <row r="136" spans="1:13" s="3" customFormat="1" ht="15.75" x14ac:dyDescent="0.25">
      <c r="A136" s="65"/>
      <c r="B136" s="66"/>
      <c r="C136" s="193"/>
      <c r="D136" s="68"/>
      <c r="E136" s="203"/>
      <c r="F136" s="68"/>
      <c r="G136" s="222"/>
      <c r="H136" s="215"/>
      <c r="I136" s="174"/>
      <c r="J136" s="13"/>
      <c r="K136" s="5"/>
      <c r="L136" s="5"/>
      <c r="M136" s="5"/>
    </row>
    <row r="137" spans="1:13" s="13" customFormat="1" x14ac:dyDescent="0.2">
      <c r="A137" s="22">
        <v>3319</v>
      </c>
      <c r="B137" s="170">
        <v>5021</v>
      </c>
      <c r="C137" s="193" t="s">
        <v>24</v>
      </c>
      <c r="D137" s="24">
        <v>410</v>
      </c>
      <c r="E137" s="173">
        <v>410</v>
      </c>
      <c r="F137" s="24">
        <v>307739</v>
      </c>
      <c r="G137" s="222">
        <v>410000</v>
      </c>
      <c r="H137" s="215">
        <v>80</v>
      </c>
      <c r="I137" s="174"/>
      <c r="K137" s="2"/>
      <c r="L137" s="2"/>
      <c r="M137" s="2"/>
    </row>
    <row r="138" spans="1:13" s="13" customFormat="1" x14ac:dyDescent="0.2">
      <c r="A138" s="181">
        <v>3319</v>
      </c>
      <c r="B138" s="182">
        <v>5031</v>
      </c>
      <c r="C138" s="190" t="s">
        <v>55</v>
      </c>
      <c r="D138" s="24">
        <v>24</v>
      </c>
      <c r="E138" s="202">
        <v>24</v>
      </c>
      <c r="F138" s="24">
        <v>25000</v>
      </c>
      <c r="G138" s="222">
        <v>25000</v>
      </c>
      <c r="H138" s="215">
        <v>54</v>
      </c>
      <c r="I138" s="174"/>
      <c r="K138" s="2"/>
      <c r="L138" s="2"/>
      <c r="M138" s="2"/>
    </row>
    <row r="139" spans="1:13" s="13" customFormat="1" x14ac:dyDescent="0.2">
      <c r="A139" s="181">
        <v>3319</v>
      </c>
      <c r="B139" s="182">
        <v>5032</v>
      </c>
      <c r="C139" s="190" t="s">
        <v>45</v>
      </c>
      <c r="D139" s="24">
        <v>11</v>
      </c>
      <c r="E139" s="202">
        <v>11</v>
      </c>
      <c r="F139" s="24">
        <v>9000</v>
      </c>
      <c r="G139" s="222">
        <v>11000</v>
      </c>
      <c r="H139" s="215">
        <v>20</v>
      </c>
      <c r="I139" s="174"/>
      <c r="K139" s="2"/>
      <c r="L139" s="2"/>
      <c r="M139" s="2"/>
    </row>
    <row r="140" spans="1:13" s="13" customFormat="1" x14ac:dyDescent="0.2">
      <c r="A140" s="181">
        <v>3319</v>
      </c>
      <c r="B140" s="182">
        <v>5041</v>
      </c>
      <c r="C140" s="190" t="s">
        <v>149</v>
      </c>
      <c r="D140" s="24">
        <v>2</v>
      </c>
      <c r="E140" s="202">
        <v>2</v>
      </c>
      <c r="F140" s="24">
        <v>3086</v>
      </c>
      <c r="G140" s="222">
        <v>4000</v>
      </c>
      <c r="H140" s="215">
        <v>4</v>
      </c>
      <c r="I140" s="174"/>
      <c r="K140" s="2"/>
      <c r="L140" s="2"/>
      <c r="M140" s="2"/>
    </row>
    <row r="141" spans="1:13" s="13" customFormat="1" x14ac:dyDescent="0.2">
      <c r="A141" s="181">
        <v>3319</v>
      </c>
      <c r="B141" s="182">
        <v>5137</v>
      </c>
      <c r="C141" s="190" t="s">
        <v>50</v>
      </c>
      <c r="D141" s="24">
        <v>4</v>
      </c>
      <c r="E141" s="202">
        <v>4</v>
      </c>
      <c r="F141" s="24">
        <v>0</v>
      </c>
      <c r="G141" s="222">
        <v>0</v>
      </c>
      <c r="H141" s="215">
        <v>4</v>
      </c>
      <c r="I141" s="174"/>
      <c r="K141" s="2"/>
      <c r="L141" s="2"/>
      <c r="M141" s="2"/>
    </row>
    <row r="142" spans="1:13" s="13" customFormat="1" x14ac:dyDescent="0.2">
      <c r="A142" s="181">
        <v>3319</v>
      </c>
      <c r="B142" s="182">
        <v>5139</v>
      </c>
      <c r="C142" s="190" t="s">
        <v>224</v>
      </c>
      <c r="D142" s="24">
        <v>3</v>
      </c>
      <c r="E142" s="202">
        <v>3</v>
      </c>
      <c r="F142" s="24">
        <v>892</v>
      </c>
      <c r="G142" s="222">
        <v>892</v>
      </c>
      <c r="H142" s="215">
        <v>3</v>
      </c>
      <c r="I142" s="174"/>
      <c r="K142" s="2"/>
      <c r="L142" s="2"/>
      <c r="M142" s="2"/>
    </row>
    <row r="143" spans="1:13" s="13" customFormat="1" x14ac:dyDescent="0.2">
      <c r="A143" s="181">
        <v>3319</v>
      </c>
      <c r="B143" s="182">
        <v>5169</v>
      </c>
      <c r="C143" s="190" t="s">
        <v>310</v>
      </c>
      <c r="D143" s="24">
        <v>450</v>
      </c>
      <c r="E143" s="202">
        <v>450</v>
      </c>
      <c r="F143" s="24">
        <v>326260.25</v>
      </c>
      <c r="G143" s="222">
        <v>450000</v>
      </c>
      <c r="H143" s="215">
        <v>692</v>
      </c>
      <c r="I143" s="174"/>
      <c r="K143" s="2"/>
      <c r="L143" s="2"/>
      <c r="M143" s="2"/>
    </row>
    <row r="144" spans="1:13" s="13" customFormat="1" ht="30" x14ac:dyDescent="0.2">
      <c r="A144" s="181">
        <v>3319</v>
      </c>
      <c r="B144" s="182">
        <v>5169</v>
      </c>
      <c r="C144" s="190" t="s">
        <v>361</v>
      </c>
      <c r="D144" s="24">
        <v>0</v>
      </c>
      <c r="E144" s="202">
        <v>90</v>
      </c>
      <c r="F144" s="24">
        <v>89540</v>
      </c>
      <c r="G144" s="222">
        <v>89540</v>
      </c>
      <c r="H144" s="215">
        <v>130</v>
      </c>
      <c r="I144" s="174"/>
      <c r="K144" s="2"/>
      <c r="L144" s="2"/>
      <c r="M144" s="2"/>
    </row>
    <row r="145" spans="1:13" s="13" customFormat="1" x14ac:dyDescent="0.2">
      <c r="A145" s="181">
        <v>3319</v>
      </c>
      <c r="B145" s="182">
        <v>5169</v>
      </c>
      <c r="C145" s="190" t="s">
        <v>246</v>
      </c>
      <c r="D145" s="24">
        <v>0</v>
      </c>
      <c r="E145" s="202">
        <v>100</v>
      </c>
      <c r="F145" s="24">
        <f>80000+19740</f>
        <v>99740</v>
      </c>
      <c r="G145" s="222">
        <f>80000+19740</f>
        <v>99740</v>
      </c>
      <c r="H145" s="215">
        <v>0</v>
      </c>
      <c r="I145" s="174"/>
      <c r="K145" s="2"/>
      <c r="L145" s="2"/>
      <c r="M145" s="2"/>
    </row>
    <row r="146" spans="1:13" s="13" customFormat="1" x14ac:dyDescent="0.2">
      <c r="A146" s="181">
        <v>3319</v>
      </c>
      <c r="B146" s="182">
        <v>5175</v>
      </c>
      <c r="C146" s="190" t="s">
        <v>20</v>
      </c>
      <c r="D146" s="24">
        <v>10</v>
      </c>
      <c r="E146" s="202">
        <v>10</v>
      </c>
      <c r="F146" s="24">
        <v>3758</v>
      </c>
      <c r="G146" s="222">
        <v>3758</v>
      </c>
      <c r="H146" s="215">
        <v>10</v>
      </c>
      <c r="I146" s="174"/>
      <c r="K146" s="2"/>
      <c r="L146" s="2"/>
      <c r="M146" s="2"/>
    </row>
    <row r="147" spans="1:13" s="13" customFormat="1" x14ac:dyDescent="0.2">
      <c r="A147" s="181">
        <v>3319</v>
      </c>
      <c r="B147" s="182">
        <v>5179</v>
      </c>
      <c r="C147" s="190" t="s">
        <v>257</v>
      </c>
      <c r="D147" s="24">
        <v>0</v>
      </c>
      <c r="E147" s="202">
        <v>0</v>
      </c>
      <c r="F147" s="24">
        <v>1404</v>
      </c>
      <c r="G147" s="222">
        <v>1404</v>
      </c>
      <c r="H147" s="215">
        <v>0</v>
      </c>
      <c r="I147" s="174"/>
      <c r="K147" s="2"/>
      <c r="L147" s="2"/>
      <c r="M147" s="2"/>
    </row>
    <row r="148" spans="1:13" s="13" customFormat="1" ht="30" x14ac:dyDescent="0.2">
      <c r="A148" s="181">
        <v>3319</v>
      </c>
      <c r="B148" s="182">
        <v>5194</v>
      </c>
      <c r="C148" s="190" t="s">
        <v>214</v>
      </c>
      <c r="D148" s="24">
        <v>15</v>
      </c>
      <c r="E148" s="202">
        <f>15+18</f>
        <v>33</v>
      </c>
      <c r="F148" s="24">
        <v>27890.880000000001</v>
      </c>
      <c r="G148" s="222">
        <v>27890.880000000001</v>
      </c>
      <c r="H148" s="215">
        <v>15</v>
      </c>
      <c r="I148" s="174"/>
      <c r="K148" s="2"/>
      <c r="L148" s="2"/>
      <c r="M148" s="2"/>
    </row>
    <row r="149" spans="1:13" s="13" customFormat="1" x14ac:dyDescent="0.2">
      <c r="A149" s="181">
        <v>3319</v>
      </c>
      <c r="B149" s="182">
        <v>5222</v>
      </c>
      <c r="C149" s="190" t="s">
        <v>174</v>
      </c>
      <c r="D149" s="24">
        <v>17</v>
      </c>
      <c r="E149" s="202">
        <v>17</v>
      </c>
      <c r="F149" s="24">
        <v>0</v>
      </c>
      <c r="G149" s="222">
        <v>0</v>
      </c>
      <c r="H149" s="215">
        <v>17</v>
      </c>
      <c r="I149" s="174"/>
      <c r="K149" s="2"/>
      <c r="L149" s="2"/>
      <c r="M149" s="2"/>
    </row>
    <row r="150" spans="1:13" s="13" customFormat="1" x14ac:dyDescent="0.2">
      <c r="A150" s="181">
        <v>3319</v>
      </c>
      <c r="B150" s="182">
        <v>5492</v>
      </c>
      <c r="C150" s="190" t="s">
        <v>160</v>
      </c>
      <c r="D150" s="24">
        <v>10</v>
      </c>
      <c r="E150" s="202">
        <v>10</v>
      </c>
      <c r="F150" s="24">
        <v>0</v>
      </c>
      <c r="G150" s="222">
        <v>0</v>
      </c>
      <c r="H150" s="215">
        <v>10</v>
      </c>
      <c r="I150" s="174"/>
      <c r="K150" s="2"/>
      <c r="L150" s="2"/>
      <c r="M150" s="2"/>
    </row>
    <row r="151" spans="1:13" s="13" customFormat="1" ht="30" x14ac:dyDescent="0.2">
      <c r="A151" s="22">
        <v>3319</v>
      </c>
      <c r="B151" s="25">
        <v>5499</v>
      </c>
      <c r="C151" s="193" t="s">
        <v>147</v>
      </c>
      <c r="D151" s="24">
        <v>150</v>
      </c>
      <c r="E151" s="173">
        <v>150</v>
      </c>
      <c r="F151" s="24">
        <v>133230</v>
      </c>
      <c r="G151" s="222">
        <v>133230</v>
      </c>
      <c r="H151" s="215">
        <v>200</v>
      </c>
      <c r="I151" s="174"/>
      <c r="K151" s="2"/>
      <c r="L151" s="2"/>
      <c r="M151" s="2"/>
    </row>
    <row r="152" spans="1:13" s="13" customFormat="1" ht="30" x14ac:dyDescent="0.2">
      <c r="A152" s="22">
        <v>3319</v>
      </c>
      <c r="B152" s="25">
        <v>5499</v>
      </c>
      <c r="C152" s="193" t="s">
        <v>243</v>
      </c>
      <c r="D152" s="24">
        <v>0</v>
      </c>
      <c r="E152" s="173">
        <v>5</v>
      </c>
      <c r="F152" s="24">
        <v>5000</v>
      </c>
      <c r="G152" s="222">
        <v>5000</v>
      </c>
      <c r="H152" s="215">
        <v>0</v>
      </c>
      <c r="I152" s="174"/>
      <c r="K152" s="2"/>
      <c r="L152" s="2"/>
      <c r="M152" s="2"/>
    </row>
    <row r="153" spans="1:13" s="3" customFormat="1" ht="15.75" x14ac:dyDescent="0.25">
      <c r="A153" s="65">
        <v>3319</v>
      </c>
      <c r="B153" s="66"/>
      <c r="C153" s="192" t="s">
        <v>23</v>
      </c>
      <c r="D153" s="68">
        <f>SUM(D137:D152)</f>
        <v>1106</v>
      </c>
      <c r="E153" s="203">
        <f>SUM(E137:E152)</f>
        <v>1319</v>
      </c>
      <c r="F153" s="68">
        <f>SUM(F137:F152)</f>
        <v>1032540.13</v>
      </c>
      <c r="G153" s="234">
        <f>SUM(G137:G152)</f>
        <v>1261454.8799999999</v>
      </c>
      <c r="H153" s="245">
        <f>SUM(H137:H152)</f>
        <v>1239</v>
      </c>
      <c r="I153" s="243">
        <f>H153</f>
        <v>1239</v>
      </c>
      <c r="J153" s="13"/>
      <c r="K153" s="5"/>
      <c r="L153" s="5"/>
      <c r="M153" s="5"/>
    </row>
    <row r="154" spans="1:13" x14ac:dyDescent="0.2">
      <c r="A154" s="22"/>
      <c r="B154" s="25"/>
      <c r="C154" s="193"/>
      <c r="D154" s="24"/>
      <c r="E154" s="173"/>
      <c r="F154" s="24"/>
      <c r="G154" s="235"/>
      <c r="H154" s="215"/>
      <c r="I154" s="174"/>
    </row>
    <row r="155" spans="1:13" x14ac:dyDescent="0.2">
      <c r="A155" s="22">
        <v>3322</v>
      </c>
      <c r="B155" s="25">
        <v>5171</v>
      </c>
      <c r="C155" s="193" t="s">
        <v>128</v>
      </c>
      <c r="D155" s="24">
        <v>15</v>
      </c>
      <c r="E155" s="173">
        <v>15</v>
      </c>
      <c r="F155" s="24">
        <v>0</v>
      </c>
      <c r="G155" s="222">
        <v>0</v>
      </c>
      <c r="H155" s="215">
        <v>15</v>
      </c>
      <c r="I155" s="174"/>
    </row>
    <row r="156" spans="1:13" x14ac:dyDescent="0.2">
      <c r="A156" s="22">
        <v>3322</v>
      </c>
      <c r="B156" s="25">
        <v>5171</v>
      </c>
      <c r="C156" s="193" t="s">
        <v>301</v>
      </c>
      <c r="D156" s="24">
        <v>0</v>
      </c>
      <c r="E156" s="173">
        <v>38</v>
      </c>
      <c r="F156" s="24">
        <v>29560</v>
      </c>
      <c r="G156" s="222">
        <v>29560</v>
      </c>
      <c r="H156" s="215">
        <v>0</v>
      </c>
      <c r="I156" s="174"/>
    </row>
    <row r="157" spans="1:13" x14ac:dyDescent="0.2">
      <c r="A157" s="22">
        <v>3322</v>
      </c>
      <c r="B157" s="170">
        <v>5222</v>
      </c>
      <c r="C157" s="206" t="s">
        <v>245</v>
      </c>
      <c r="D157" s="24">
        <v>0</v>
      </c>
      <c r="E157" s="173">
        <v>440</v>
      </c>
      <c r="F157" s="24">
        <v>440000</v>
      </c>
      <c r="G157" s="222">
        <v>440000</v>
      </c>
      <c r="H157" s="215">
        <v>0</v>
      </c>
      <c r="I157" s="174"/>
    </row>
    <row r="158" spans="1:13" x14ac:dyDescent="0.2">
      <c r="A158" s="22">
        <v>3322</v>
      </c>
      <c r="B158" s="25">
        <v>5901</v>
      </c>
      <c r="C158" s="205" t="s">
        <v>200</v>
      </c>
      <c r="D158" s="24">
        <v>478</v>
      </c>
      <c r="E158" s="173">
        <f>478-440-38</f>
        <v>0</v>
      </c>
      <c r="F158" s="24">
        <v>0</v>
      </c>
      <c r="G158" s="222">
        <v>0</v>
      </c>
      <c r="H158" s="215">
        <v>0</v>
      </c>
      <c r="I158" s="174"/>
    </row>
    <row r="159" spans="1:13" ht="15.75" x14ac:dyDescent="0.25">
      <c r="A159" s="65">
        <v>3322</v>
      </c>
      <c r="B159" s="25"/>
      <c r="C159" s="192" t="s">
        <v>129</v>
      </c>
      <c r="D159" s="68">
        <f>SUM(D155:D158)</f>
        <v>493</v>
      </c>
      <c r="E159" s="203">
        <f>SUM(E155:E158)</f>
        <v>493</v>
      </c>
      <c r="F159" s="68">
        <f>SUM(F155:F158)</f>
        <v>469560</v>
      </c>
      <c r="G159" s="234">
        <f>SUM(G155:G158)</f>
        <v>469560</v>
      </c>
      <c r="H159" s="219">
        <f>SUM(H155:H158)</f>
        <v>15</v>
      </c>
      <c r="I159" s="243">
        <f>H159</f>
        <v>15</v>
      </c>
    </row>
    <row r="160" spans="1:13" ht="15.75" x14ac:dyDescent="0.25">
      <c r="A160" s="65"/>
      <c r="B160" s="25"/>
      <c r="C160" s="192"/>
      <c r="D160" s="68"/>
      <c r="E160" s="177"/>
      <c r="F160" s="64"/>
      <c r="G160" s="236"/>
      <c r="H160" s="215"/>
      <c r="I160" s="174"/>
    </row>
    <row r="161" spans="1:13" x14ac:dyDescent="0.2">
      <c r="A161" s="22">
        <v>3330</v>
      </c>
      <c r="B161" s="25">
        <v>5223</v>
      </c>
      <c r="C161" s="193" t="s">
        <v>176</v>
      </c>
      <c r="D161" s="24">
        <v>32</v>
      </c>
      <c r="E161" s="173">
        <v>32</v>
      </c>
      <c r="F161" s="24">
        <v>0</v>
      </c>
      <c r="G161" s="222">
        <v>0</v>
      </c>
      <c r="H161" s="215">
        <v>32</v>
      </c>
      <c r="I161" s="174"/>
    </row>
    <row r="162" spans="1:13" ht="30" x14ac:dyDescent="0.2">
      <c r="A162" s="22">
        <v>3330</v>
      </c>
      <c r="B162" s="25">
        <v>5223</v>
      </c>
      <c r="C162" s="193" t="s">
        <v>282</v>
      </c>
      <c r="D162" s="24">
        <v>0</v>
      </c>
      <c r="E162" s="173">
        <f>200-200</f>
        <v>0</v>
      </c>
      <c r="F162" s="24">
        <f>200000-200000</f>
        <v>0</v>
      </c>
      <c r="G162" s="222">
        <f>200000-200000</f>
        <v>0</v>
      </c>
      <c r="H162" s="215">
        <v>0</v>
      </c>
      <c r="I162" s="174"/>
    </row>
    <row r="163" spans="1:13" ht="45" x14ac:dyDescent="0.2">
      <c r="A163" s="22">
        <v>3330</v>
      </c>
      <c r="B163" s="25">
        <v>5223</v>
      </c>
      <c r="C163" s="193" t="s">
        <v>305</v>
      </c>
      <c r="D163" s="24">
        <v>0</v>
      </c>
      <c r="E163" s="173">
        <v>200</v>
      </c>
      <c r="F163" s="24">
        <v>200000</v>
      </c>
      <c r="G163" s="222">
        <v>200000</v>
      </c>
      <c r="H163" s="215">
        <v>0</v>
      </c>
      <c r="I163" s="174"/>
    </row>
    <row r="164" spans="1:13" ht="15.75" x14ac:dyDescent="0.25">
      <c r="A164" s="65">
        <v>3330</v>
      </c>
      <c r="B164" s="25"/>
      <c r="C164" s="192" t="s">
        <v>130</v>
      </c>
      <c r="D164" s="68">
        <f>SUM(D161:D163)</f>
        <v>32</v>
      </c>
      <c r="E164" s="68">
        <f t="shared" ref="E164:H164" si="1">SUM(E161:E163)</f>
        <v>232</v>
      </c>
      <c r="F164" s="68">
        <f t="shared" si="1"/>
        <v>200000</v>
      </c>
      <c r="G164" s="238">
        <f t="shared" si="1"/>
        <v>200000</v>
      </c>
      <c r="H164" s="245">
        <f t="shared" si="1"/>
        <v>32</v>
      </c>
      <c r="I164" s="243">
        <f>H164</f>
        <v>32</v>
      </c>
    </row>
    <row r="165" spans="1:13" s="10" customFormat="1" ht="15.75" x14ac:dyDescent="0.25">
      <c r="A165" s="22"/>
      <c r="B165" s="66"/>
      <c r="C165" s="197"/>
      <c r="D165" s="67"/>
      <c r="E165" s="203"/>
      <c r="F165" s="64"/>
      <c r="G165" s="236"/>
      <c r="H165" s="215"/>
      <c r="I165" s="174"/>
      <c r="J165" s="13"/>
      <c r="K165" s="8"/>
      <c r="L165" s="8"/>
      <c r="M165" s="8"/>
    </row>
    <row r="166" spans="1:13" s="10" customFormat="1" x14ac:dyDescent="0.2">
      <c r="A166" s="22">
        <v>3412</v>
      </c>
      <c r="B166" s="170">
        <v>5229</v>
      </c>
      <c r="C166" s="193" t="s">
        <v>201</v>
      </c>
      <c r="D166" s="24">
        <v>300</v>
      </c>
      <c r="E166" s="173">
        <v>0</v>
      </c>
      <c r="F166" s="24">
        <v>0</v>
      </c>
      <c r="G166" s="222">
        <v>0</v>
      </c>
      <c r="H166" s="215">
        <v>300</v>
      </c>
      <c r="I166" s="174"/>
      <c r="J166" s="13"/>
      <c r="K166" s="8"/>
      <c r="L166" s="8"/>
      <c r="M166" s="8"/>
    </row>
    <row r="167" spans="1:13" s="10" customFormat="1" ht="30" x14ac:dyDescent="0.2">
      <c r="A167" s="22">
        <v>3412</v>
      </c>
      <c r="B167" s="170">
        <v>5229</v>
      </c>
      <c r="C167" s="193" t="s">
        <v>280</v>
      </c>
      <c r="D167" s="24">
        <v>0</v>
      </c>
      <c r="E167" s="202">
        <f>300-194.8</f>
        <v>105.19999999999999</v>
      </c>
      <c r="F167" s="24">
        <v>105200</v>
      </c>
      <c r="G167" s="222">
        <v>105200</v>
      </c>
      <c r="H167" s="215">
        <v>0</v>
      </c>
      <c r="I167" s="174"/>
      <c r="J167" s="13"/>
      <c r="K167" s="8"/>
      <c r="L167" s="8"/>
      <c r="M167" s="8"/>
    </row>
    <row r="168" spans="1:13" s="10" customFormat="1" ht="30" x14ac:dyDescent="0.2">
      <c r="A168" s="22">
        <v>3412</v>
      </c>
      <c r="B168" s="170">
        <v>5229</v>
      </c>
      <c r="C168" s="193" t="s">
        <v>281</v>
      </c>
      <c r="D168" s="24">
        <v>0</v>
      </c>
      <c r="E168" s="202">
        <v>194.8</v>
      </c>
      <c r="F168" s="24">
        <v>194800</v>
      </c>
      <c r="G168" s="222">
        <v>194800</v>
      </c>
      <c r="H168" s="215">
        <v>0</v>
      </c>
      <c r="I168" s="174"/>
      <c r="J168" s="13"/>
      <c r="K168" s="8"/>
      <c r="L168" s="8"/>
      <c r="M168" s="8"/>
    </row>
    <row r="169" spans="1:13" s="10" customFormat="1" ht="45" x14ac:dyDescent="0.2">
      <c r="A169" s="181">
        <v>3412</v>
      </c>
      <c r="B169" s="182">
        <v>5171</v>
      </c>
      <c r="C169" s="190" t="s">
        <v>296</v>
      </c>
      <c r="D169" s="24">
        <v>0</v>
      </c>
      <c r="E169" s="202">
        <f>110+239+81</f>
        <v>430</v>
      </c>
      <c r="F169" s="24">
        <v>420197</v>
      </c>
      <c r="G169" s="222">
        <v>420197</v>
      </c>
      <c r="H169" s="215">
        <v>0</v>
      </c>
      <c r="I169" s="174"/>
      <c r="J169" s="13"/>
      <c r="K169" s="8"/>
      <c r="L169" s="8"/>
      <c r="M169" s="8"/>
    </row>
    <row r="170" spans="1:13" s="10" customFormat="1" ht="30.75" customHeight="1" x14ac:dyDescent="0.2">
      <c r="A170" s="181">
        <v>3412</v>
      </c>
      <c r="B170" s="182">
        <v>5901</v>
      </c>
      <c r="C170" s="194" t="s">
        <v>329</v>
      </c>
      <c r="D170" s="24">
        <v>239</v>
      </c>
      <c r="E170" s="202">
        <f>239-239</f>
        <v>0</v>
      </c>
      <c r="F170" s="24">
        <v>0</v>
      </c>
      <c r="G170" s="222">
        <v>0</v>
      </c>
      <c r="H170" s="215">
        <v>0</v>
      </c>
      <c r="I170" s="174"/>
      <c r="J170" s="13"/>
      <c r="K170" s="8"/>
      <c r="L170" s="8"/>
      <c r="M170" s="8"/>
    </row>
    <row r="171" spans="1:13" s="10" customFormat="1" ht="30" x14ac:dyDescent="0.2">
      <c r="A171" s="181">
        <v>3412</v>
      </c>
      <c r="B171" s="182">
        <v>6121</v>
      </c>
      <c r="C171" s="190" t="s">
        <v>362</v>
      </c>
      <c r="D171" s="24">
        <v>67.5</v>
      </c>
      <c r="E171" s="202">
        <v>67.5</v>
      </c>
      <c r="F171" s="24">
        <v>3500</v>
      </c>
      <c r="G171" s="222">
        <v>3500</v>
      </c>
      <c r="H171" s="215">
        <v>68</v>
      </c>
      <c r="I171" s="174"/>
      <c r="J171" s="13"/>
      <c r="K171" s="8"/>
      <c r="L171" s="8"/>
      <c r="M171" s="8"/>
    </row>
    <row r="172" spans="1:13" s="10" customFormat="1" ht="30" x14ac:dyDescent="0.2">
      <c r="A172" s="181">
        <v>3412</v>
      </c>
      <c r="B172" s="182">
        <v>6121</v>
      </c>
      <c r="C172" s="194" t="s">
        <v>363</v>
      </c>
      <c r="D172" s="24"/>
      <c r="E172" s="202"/>
      <c r="F172" s="24"/>
      <c r="G172" s="222"/>
      <c r="H172" s="215">
        <v>200</v>
      </c>
      <c r="I172" s="174"/>
      <c r="J172" s="13"/>
      <c r="K172" s="8"/>
      <c r="L172" s="8"/>
      <c r="M172" s="8"/>
    </row>
    <row r="173" spans="1:13" s="6" customFormat="1" ht="15.75" x14ac:dyDescent="0.25">
      <c r="A173" s="70">
        <v>3412</v>
      </c>
      <c r="B173" s="71"/>
      <c r="C173" s="195" t="s">
        <v>83</v>
      </c>
      <c r="D173" s="64">
        <f>SUM(D166:D172)</f>
        <v>606.5</v>
      </c>
      <c r="E173" s="64">
        <f t="shared" ref="E173:G173" si="2">SUM(E166:E172)</f>
        <v>797.5</v>
      </c>
      <c r="F173" s="64">
        <f t="shared" si="2"/>
        <v>723697</v>
      </c>
      <c r="G173" s="64">
        <f t="shared" si="2"/>
        <v>723697</v>
      </c>
      <c r="H173" s="219">
        <f>SUM(H166:H172)</f>
        <v>568</v>
      </c>
      <c r="I173" s="243">
        <f>H173</f>
        <v>568</v>
      </c>
      <c r="J173" s="13"/>
      <c r="K173" s="7"/>
      <c r="L173" s="7"/>
      <c r="M173" s="7"/>
    </row>
    <row r="174" spans="1:13" s="10" customFormat="1" x14ac:dyDescent="0.2">
      <c r="A174" s="22"/>
      <c r="B174" s="25"/>
      <c r="C174" s="193"/>
      <c r="D174" s="24"/>
      <c r="E174" s="173"/>
      <c r="F174" s="24"/>
      <c r="G174" s="235"/>
      <c r="H174" s="215"/>
      <c r="I174" s="174"/>
      <c r="J174" s="13"/>
      <c r="K174" s="8"/>
      <c r="L174" s="8"/>
      <c r="M174" s="8"/>
    </row>
    <row r="175" spans="1:13" s="10" customFormat="1" x14ac:dyDescent="0.2">
      <c r="A175" s="22">
        <v>3419</v>
      </c>
      <c r="B175" s="25">
        <v>5222</v>
      </c>
      <c r="C175" s="193" t="s">
        <v>174</v>
      </c>
      <c r="D175" s="24">
        <v>200</v>
      </c>
      <c r="E175" s="173">
        <v>0</v>
      </c>
      <c r="F175" s="24">
        <v>0</v>
      </c>
      <c r="G175" s="222">
        <v>0</v>
      </c>
      <c r="H175" s="215">
        <v>200</v>
      </c>
      <c r="I175" s="174"/>
      <c r="J175" s="13"/>
      <c r="K175" s="8"/>
      <c r="L175" s="8"/>
      <c r="M175" s="8"/>
    </row>
    <row r="176" spans="1:13" s="10" customFormat="1" ht="30" x14ac:dyDescent="0.2">
      <c r="A176" s="22">
        <v>3419</v>
      </c>
      <c r="B176" s="25">
        <v>5222</v>
      </c>
      <c r="C176" s="193" t="s">
        <v>278</v>
      </c>
      <c r="D176" s="24">
        <v>0</v>
      </c>
      <c r="E176" s="173">
        <f>200-194.7</f>
        <v>5.3000000000000114</v>
      </c>
      <c r="F176" s="24">
        <f>200000-194700</f>
        <v>5300</v>
      </c>
      <c r="G176" s="222">
        <f>200000-194700</f>
        <v>5300</v>
      </c>
      <c r="H176" s="215">
        <v>0</v>
      </c>
      <c r="I176" s="174"/>
      <c r="J176" s="13"/>
      <c r="K176" s="8"/>
      <c r="L176" s="8"/>
      <c r="M176" s="8"/>
    </row>
    <row r="177" spans="1:13" s="10" customFormat="1" ht="30" x14ac:dyDescent="0.2">
      <c r="A177" s="22">
        <v>3419</v>
      </c>
      <c r="B177" s="25">
        <v>5222</v>
      </c>
      <c r="C177" s="193" t="s">
        <v>279</v>
      </c>
      <c r="D177" s="24"/>
      <c r="E177" s="173">
        <v>194.7</v>
      </c>
      <c r="F177" s="24">
        <v>194700</v>
      </c>
      <c r="G177" s="222">
        <v>194700</v>
      </c>
      <c r="H177" s="215">
        <v>0</v>
      </c>
      <c r="I177" s="174"/>
      <c r="J177" s="13"/>
      <c r="K177" s="8"/>
      <c r="L177" s="8"/>
      <c r="M177" s="8"/>
    </row>
    <row r="178" spans="1:13" s="10" customFormat="1" x14ac:dyDescent="0.2">
      <c r="A178" s="22">
        <v>3419</v>
      </c>
      <c r="B178" s="25">
        <v>5222</v>
      </c>
      <c r="C178" s="193" t="s">
        <v>244</v>
      </c>
      <c r="D178" s="24">
        <v>0</v>
      </c>
      <c r="E178" s="173">
        <v>10</v>
      </c>
      <c r="F178" s="24">
        <v>10000</v>
      </c>
      <c r="G178" s="222">
        <v>10000</v>
      </c>
      <c r="H178" s="215">
        <v>0</v>
      </c>
      <c r="I178" s="174"/>
      <c r="J178" s="13"/>
      <c r="K178" s="8"/>
      <c r="L178" s="8"/>
      <c r="M178" s="8"/>
    </row>
    <row r="179" spans="1:13" s="10" customFormat="1" x14ac:dyDescent="0.2">
      <c r="A179" s="22">
        <v>3419</v>
      </c>
      <c r="B179" s="25">
        <v>5229</v>
      </c>
      <c r="C179" s="193" t="s">
        <v>175</v>
      </c>
      <c r="D179" s="24">
        <v>200</v>
      </c>
      <c r="E179" s="173">
        <v>0</v>
      </c>
      <c r="F179" s="24">
        <v>0</v>
      </c>
      <c r="G179" s="222">
        <v>0</v>
      </c>
      <c r="H179" s="215">
        <v>200</v>
      </c>
      <c r="I179" s="174"/>
      <c r="J179" s="13"/>
      <c r="K179" s="8"/>
      <c r="L179" s="8"/>
      <c r="M179" s="8"/>
    </row>
    <row r="180" spans="1:13" s="10" customFormat="1" ht="30" x14ac:dyDescent="0.2">
      <c r="A180" s="22">
        <v>3419</v>
      </c>
      <c r="B180" s="25">
        <v>5229</v>
      </c>
      <c r="C180" s="193" t="s">
        <v>234</v>
      </c>
      <c r="D180" s="24">
        <v>0</v>
      </c>
      <c r="E180" s="173">
        <f>200+40</f>
        <v>240</v>
      </c>
      <c r="F180" s="24">
        <f>90000+40000</f>
        <v>130000</v>
      </c>
      <c r="G180" s="222">
        <f>90000+40000</f>
        <v>130000</v>
      </c>
      <c r="H180" s="215">
        <v>0</v>
      </c>
      <c r="I180" s="174"/>
      <c r="J180" s="13"/>
      <c r="K180" s="8"/>
      <c r="L180" s="8"/>
      <c r="M180" s="8"/>
    </row>
    <row r="181" spans="1:13" s="10" customFormat="1" ht="30" x14ac:dyDescent="0.2">
      <c r="A181" s="22">
        <v>3419</v>
      </c>
      <c r="B181" s="25">
        <v>5229</v>
      </c>
      <c r="C181" s="193" t="s">
        <v>235</v>
      </c>
      <c r="D181" s="24">
        <v>0</v>
      </c>
      <c r="E181" s="173">
        <v>110</v>
      </c>
      <c r="F181" s="24">
        <v>110000</v>
      </c>
      <c r="G181" s="222">
        <v>110000</v>
      </c>
      <c r="H181" s="215">
        <v>0</v>
      </c>
      <c r="I181" s="174"/>
      <c r="J181" s="13"/>
      <c r="K181" s="8"/>
      <c r="L181" s="8"/>
      <c r="M181" s="8"/>
    </row>
    <row r="182" spans="1:13" s="10" customFormat="1" x14ac:dyDescent="0.2">
      <c r="A182" s="22">
        <v>3419</v>
      </c>
      <c r="B182" s="25">
        <v>5901</v>
      </c>
      <c r="C182" s="205" t="s">
        <v>200</v>
      </c>
      <c r="D182" s="24">
        <v>239</v>
      </c>
      <c r="E182" s="173">
        <f>239-10</f>
        <v>229</v>
      </c>
      <c r="F182" s="24">
        <v>0</v>
      </c>
      <c r="G182" s="222">
        <v>0</v>
      </c>
      <c r="H182" s="215">
        <v>0</v>
      </c>
      <c r="I182" s="174"/>
      <c r="J182" s="13"/>
      <c r="K182" s="8"/>
      <c r="L182" s="8"/>
      <c r="M182" s="8"/>
    </row>
    <row r="183" spans="1:13" s="6" customFormat="1" ht="15.75" x14ac:dyDescent="0.25">
      <c r="A183" s="70">
        <v>3419</v>
      </c>
      <c r="B183" s="71"/>
      <c r="C183" s="195" t="s">
        <v>80</v>
      </c>
      <c r="D183" s="64">
        <f>SUM(D175:D182)</f>
        <v>639</v>
      </c>
      <c r="E183" s="177">
        <f>SUM(E175:E182)</f>
        <v>789</v>
      </c>
      <c r="F183" s="64">
        <f>SUM(F175:F182)</f>
        <v>450000</v>
      </c>
      <c r="G183" s="234">
        <f>SUM(G175:G182)</f>
        <v>450000</v>
      </c>
      <c r="H183" s="219">
        <f>SUM(H175:H182)</f>
        <v>400</v>
      </c>
      <c r="I183" s="243">
        <f>H183</f>
        <v>400</v>
      </c>
      <c r="J183" s="13"/>
      <c r="K183" s="7"/>
      <c r="L183" s="7"/>
      <c r="M183" s="7"/>
    </row>
    <row r="184" spans="1:13" s="10" customFormat="1" x14ac:dyDescent="0.2">
      <c r="A184" s="22"/>
      <c r="B184" s="25"/>
      <c r="C184" s="193"/>
      <c r="D184" s="24"/>
      <c r="E184" s="173"/>
      <c r="F184" s="24"/>
      <c r="G184" s="235"/>
      <c r="H184" s="215"/>
      <c r="I184" s="174"/>
      <c r="J184" s="13"/>
      <c r="K184" s="8"/>
      <c r="L184" s="8"/>
      <c r="M184" s="8"/>
    </row>
    <row r="185" spans="1:13" s="10" customFormat="1" x14ac:dyDescent="0.2">
      <c r="A185" s="22">
        <v>3421</v>
      </c>
      <c r="B185" s="25">
        <v>5171</v>
      </c>
      <c r="C185" s="190" t="s">
        <v>365</v>
      </c>
      <c r="D185" s="24">
        <v>0</v>
      </c>
      <c r="E185" s="173">
        <v>80</v>
      </c>
      <c r="F185" s="24">
        <v>0</v>
      </c>
      <c r="G185" s="222">
        <v>0</v>
      </c>
      <c r="H185" s="215">
        <v>100</v>
      </c>
      <c r="I185" s="174"/>
      <c r="J185" s="13"/>
      <c r="K185" s="8"/>
      <c r="L185" s="8"/>
      <c r="M185" s="8"/>
    </row>
    <row r="186" spans="1:13" s="10" customFormat="1" x14ac:dyDescent="0.2">
      <c r="A186" s="22">
        <v>3421</v>
      </c>
      <c r="B186" s="25">
        <v>5229</v>
      </c>
      <c r="C186" s="193" t="s">
        <v>364</v>
      </c>
      <c r="D186" s="24">
        <v>20</v>
      </c>
      <c r="E186" s="173">
        <v>20</v>
      </c>
      <c r="F186" s="24">
        <v>20000</v>
      </c>
      <c r="G186" s="222">
        <v>20000</v>
      </c>
      <c r="H186" s="215">
        <v>20</v>
      </c>
      <c r="I186" s="174"/>
      <c r="J186" s="13"/>
      <c r="K186" s="8"/>
      <c r="L186" s="8"/>
      <c r="M186" s="8"/>
    </row>
    <row r="187" spans="1:13" s="6" customFormat="1" ht="15.75" x14ac:dyDescent="0.25">
      <c r="A187" s="70">
        <v>3421</v>
      </c>
      <c r="B187" s="71"/>
      <c r="C187" s="195" t="s">
        <v>81</v>
      </c>
      <c r="D187" s="64">
        <f>SUM(D185:D186)</f>
        <v>20</v>
      </c>
      <c r="E187" s="64">
        <f t="shared" ref="E187:H187" si="3">SUM(E185:E186)</f>
        <v>100</v>
      </c>
      <c r="F187" s="64">
        <f t="shared" si="3"/>
        <v>20000</v>
      </c>
      <c r="G187" s="234">
        <f t="shared" si="3"/>
        <v>20000</v>
      </c>
      <c r="H187" s="219">
        <f t="shared" si="3"/>
        <v>120</v>
      </c>
      <c r="I187" s="243">
        <f>H187</f>
        <v>120</v>
      </c>
      <c r="J187" s="13"/>
      <c r="K187" s="7"/>
      <c r="L187" s="7"/>
      <c r="M187" s="7"/>
    </row>
    <row r="188" spans="1:13" s="10" customFormat="1" x14ac:dyDescent="0.2">
      <c r="A188" s="22"/>
      <c r="B188" s="25"/>
      <c r="C188" s="193"/>
      <c r="D188" s="24"/>
      <c r="E188" s="173"/>
      <c r="F188" s="24"/>
      <c r="G188" s="235"/>
      <c r="H188" s="215"/>
      <c r="I188" s="174"/>
      <c r="J188" s="13"/>
      <c r="K188" s="8"/>
      <c r="L188" s="8"/>
      <c r="M188" s="8"/>
    </row>
    <row r="189" spans="1:13" s="10" customFormat="1" ht="30" x14ac:dyDescent="0.2">
      <c r="A189" s="22">
        <v>3429</v>
      </c>
      <c r="B189" s="170">
        <v>6129</v>
      </c>
      <c r="C189" s="193" t="s">
        <v>232</v>
      </c>
      <c r="D189" s="24">
        <v>1000</v>
      </c>
      <c r="E189" s="173">
        <v>1000</v>
      </c>
      <c r="F189" s="24">
        <f>239008+91597+4576</f>
        <v>335181</v>
      </c>
      <c r="G189" s="222">
        <f>239008+91597+4576</f>
        <v>335181</v>
      </c>
      <c r="H189" s="215">
        <v>0</v>
      </c>
      <c r="I189" s="174"/>
      <c r="J189" s="13"/>
      <c r="K189" s="8"/>
      <c r="L189" s="8"/>
      <c r="M189" s="8"/>
    </row>
    <row r="190" spans="1:13" s="10" customFormat="1" ht="30" x14ac:dyDescent="0.2">
      <c r="A190" s="181">
        <v>3429</v>
      </c>
      <c r="B190" s="182">
        <v>6129</v>
      </c>
      <c r="C190" s="193" t="s">
        <v>231</v>
      </c>
      <c r="D190" s="24">
        <v>0</v>
      </c>
      <c r="E190" s="173">
        <v>600</v>
      </c>
      <c r="F190" s="24">
        <f>42350+(600000-42350)</f>
        <v>600000</v>
      </c>
      <c r="G190" s="222">
        <f>42350+(600000-42350)</f>
        <v>600000</v>
      </c>
      <c r="H190" s="215">
        <v>0</v>
      </c>
      <c r="I190" s="174"/>
      <c r="J190" s="13"/>
      <c r="K190" s="8"/>
      <c r="L190" s="8"/>
      <c r="M190" s="8"/>
    </row>
    <row r="191" spans="1:13" s="10" customFormat="1" ht="15.75" x14ac:dyDescent="0.25">
      <c r="A191" s="183">
        <v>3429</v>
      </c>
      <c r="B191" s="184"/>
      <c r="C191" s="191" t="s">
        <v>202</v>
      </c>
      <c r="D191" s="64">
        <f>SUM(D189:D190)</f>
        <v>1000</v>
      </c>
      <c r="E191" s="64">
        <f t="shared" ref="E191:H191" si="4">SUM(E189:E190)</f>
        <v>1600</v>
      </c>
      <c r="F191" s="64">
        <f t="shared" si="4"/>
        <v>935181</v>
      </c>
      <c r="G191" s="234">
        <f t="shared" si="4"/>
        <v>935181</v>
      </c>
      <c r="H191" s="219">
        <f t="shared" si="4"/>
        <v>0</v>
      </c>
      <c r="I191" s="243">
        <f>H191</f>
        <v>0</v>
      </c>
      <c r="J191" s="13"/>
      <c r="K191" s="8"/>
      <c r="L191" s="8"/>
      <c r="M191" s="8"/>
    </row>
    <row r="192" spans="1:13" s="10" customFormat="1" x14ac:dyDescent="0.2">
      <c r="A192" s="22"/>
      <c r="B192" s="25"/>
      <c r="C192" s="193"/>
      <c r="D192" s="24"/>
      <c r="E192" s="173"/>
      <c r="F192" s="24"/>
      <c r="G192" s="235"/>
      <c r="H192" s="215"/>
      <c r="I192" s="174"/>
      <c r="J192" s="13"/>
      <c r="K192" s="8"/>
      <c r="L192" s="8"/>
      <c r="M192" s="8"/>
    </row>
    <row r="193" spans="1:13" s="10" customFormat="1" ht="30" x14ac:dyDescent="0.2">
      <c r="A193" s="22">
        <v>3549</v>
      </c>
      <c r="B193" s="25">
        <v>5169</v>
      </c>
      <c r="C193" s="193" t="s">
        <v>258</v>
      </c>
      <c r="D193" s="24">
        <v>0</v>
      </c>
      <c r="E193" s="173">
        <v>288</v>
      </c>
      <c r="F193" s="24">
        <v>288000</v>
      </c>
      <c r="G193" s="222">
        <v>288000</v>
      </c>
      <c r="H193" s="215">
        <v>0</v>
      </c>
      <c r="I193" s="174"/>
      <c r="J193" s="13"/>
      <c r="K193" s="8"/>
      <c r="L193" s="8"/>
      <c r="M193" s="8"/>
    </row>
    <row r="194" spans="1:13" s="10" customFormat="1" ht="15.75" x14ac:dyDescent="0.25">
      <c r="A194" s="70">
        <v>3549</v>
      </c>
      <c r="B194" s="71"/>
      <c r="C194" s="195" t="s">
        <v>213</v>
      </c>
      <c r="D194" s="64">
        <v>0</v>
      </c>
      <c r="E194" s="177">
        <f>SUM(E193)</f>
        <v>288</v>
      </c>
      <c r="F194" s="177">
        <f>SUM(F193)</f>
        <v>288000</v>
      </c>
      <c r="G194" s="239">
        <f>SUM(G193)</f>
        <v>288000</v>
      </c>
      <c r="H194" s="219">
        <f>SUM(H193)</f>
        <v>0</v>
      </c>
      <c r="I194" s="243">
        <f>H194</f>
        <v>0</v>
      </c>
      <c r="J194" s="13"/>
      <c r="K194" s="8"/>
      <c r="L194" s="8"/>
      <c r="M194" s="8"/>
    </row>
    <row r="195" spans="1:13" s="10" customFormat="1" x14ac:dyDescent="0.2">
      <c r="A195" s="22"/>
      <c r="B195" s="25"/>
      <c r="C195" s="193"/>
      <c r="D195" s="24"/>
      <c r="E195" s="173"/>
      <c r="F195" s="24"/>
      <c r="G195" s="235"/>
      <c r="H195" s="215"/>
      <c r="I195" s="174"/>
      <c r="J195" s="13"/>
      <c r="K195" s="8"/>
      <c r="L195" s="8"/>
      <c r="M195" s="8"/>
    </row>
    <row r="196" spans="1:13" s="10" customFormat="1" x14ac:dyDescent="0.2">
      <c r="A196" s="22"/>
      <c r="B196" s="25"/>
      <c r="C196" s="193"/>
      <c r="D196" s="24"/>
      <c r="E196" s="173"/>
      <c r="F196" s="24"/>
      <c r="G196" s="235"/>
      <c r="H196" s="215"/>
      <c r="I196" s="174"/>
      <c r="J196" s="13"/>
      <c r="K196" s="8"/>
      <c r="L196" s="8"/>
      <c r="M196" s="8"/>
    </row>
    <row r="197" spans="1:13" s="10" customFormat="1" ht="30" x14ac:dyDescent="0.2">
      <c r="A197" s="22">
        <v>3599</v>
      </c>
      <c r="B197" s="25">
        <v>5137</v>
      </c>
      <c r="C197" s="193" t="s">
        <v>161</v>
      </c>
      <c r="D197" s="24">
        <v>20</v>
      </c>
      <c r="E197" s="173">
        <v>20</v>
      </c>
      <c r="F197" s="24">
        <v>0</v>
      </c>
      <c r="G197" s="222">
        <v>0</v>
      </c>
      <c r="H197" s="215">
        <v>20</v>
      </c>
      <c r="I197" s="174"/>
      <c r="J197" s="13"/>
      <c r="K197" s="8"/>
      <c r="L197" s="8"/>
      <c r="M197" s="8"/>
    </row>
    <row r="198" spans="1:13" s="10" customFormat="1" x14ac:dyDescent="0.2">
      <c r="A198" s="22">
        <v>3599</v>
      </c>
      <c r="B198" s="25">
        <v>5221</v>
      </c>
      <c r="C198" s="190" t="s">
        <v>203</v>
      </c>
      <c r="D198" s="24">
        <v>5</v>
      </c>
      <c r="E198" s="173">
        <v>5</v>
      </c>
      <c r="F198" s="24">
        <v>0</v>
      </c>
      <c r="G198" s="222">
        <v>0</v>
      </c>
      <c r="H198" s="215">
        <v>5</v>
      </c>
      <c r="I198" s="174"/>
      <c r="J198" s="13"/>
      <c r="K198" s="8"/>
      <c r="L198" s="8"/>
      <c r="M198" s="8"/>
    </row>
    <row r="199" spans="1:13" s="10" customFormat="1" ht="30" x14ac:dyDescent="0.2">
      <c r="A199" s="22">
        <v>3599</v>
      </c>
      <c r="B199" s="170">
        <v>5221</v>
      </c>
      <c r="C199" s="172" t="s">
        <v>240</v>
      </c>
      <c r="D199" s="24">
        <v>0</v>
      </c>
      <c r="E199" s="173">
        <v>5</v>
      </c>
      <c r="F199" s="24">
        <v>5000</v>
      </c>
      <c r="G199" s="222">
        <v>5000</v>
      </c>
      <c r="H199" s="215">
        <v>0</v>
      </c>
      <c r="I199" s="174"/>
      <c r="J199" s="13"/>
      <c r="K199" s="8"/>
      <c r="L199" s="8"/>
      <c r="M199" s="8"/>
    </row>
    <row r="200" spans="1:13" s="10" customFormat="1" ht="30" x14ac:dyDescent="0.2">
      <c r="A200" s="22">
        <v>3599</v>
      </c>
      <c r="B200" s="182">
        <v>5339</v>
      </c>
      <c r="C200" s="175" t="s">
        <v>366</v>
      </c>
      <c r="D200" s="24"/>
      <c r="E200" s="173"/>
      <c r="F200" s="24"/>
      <c r="G200" s="222"/>
      <c r="H200" s="215">
        <v>10</v>
      </c>
      <c r="I200" s="174"/>
      <c r="J200" s="13"/>
      <c r="K200" s="8"/>
      <c r="L200" s="8"/>
      <c r="M200" s="8"/>
    </row>
    <row r="201" spans="1:13" s="10" customFormat="1" x14ac:dyDescent="0.2">
      <c r="A201" s="22">
        <v>3599</v>
      </c>
      <c r="B201" s="25">
        <v>5492</v>
      </c>
      <c r="C201" s="193" t="s">
        <v>302</v>
      </c>
      <c r="D201" s="24">
        <v>5</v>
      </c>
      <c r="E201" s="173">
        <v>5</v>
      </c>
      <c r="F201" s="24">
        <v>0</v>
      </c>
      <c r="G201" s="222">
        <v>0</v>
      </c>
      <c r="H201" s="215">
        <v>5</v>
      </c>
      <c r="I201" s="174"/>
      <c r="J201" s="13"/>
      <c r="K201" s="8"/>
      <c r="L201" s="8"/>
      <c r="M201" s="8"/>
    </row>
    <row r="202" spans="1:13" s="10" customFormat="1" ht="15.75" x14ac:dyDescent="0.25">
      <c r="A202" s="70">
        <v>3599</v>
      </c>
      <c r="B202" s="71"/>
      <c r="C202" s="195" t="s">
        <v>191</v>
      </c>
      <c r="D202" s="64">
        <f>SUM(D197:D201)</f>
        <v>30</v>
      </c>
      <c r="E202" s="177">
        <f>SUM(E197:E201)</f>
        <v>35</v>
      </c>
      <c r="F202" s="64">
        <f>SUM(F197:F201)</f>
        <v>5000</v>
      </c>
      <c r="G202" s="234">
        <f>SUM(G197:G201)</f>
        <v>5000</v>
      </c>
      <c r="H202" s="219">
        <f>SUM(H197:H201)</f>
        <v>40</v>
      </c>
      <c r="I202" s="243">
        <f>H202</f>
        <v>40</v>
      </c>
      <c r="J202" s="13"/>
      <c r="K202" s="8"/>
      <c r="L202" s="8"/>
      <c r="M202" s="8"/>
    </row>
    <row r="203" spans="1:13" s="10" customFormat="1" x14ac:dyDescent="0.2">
      <c r="A203" s="22"/>
      <c r="B203" s="25"/>
      <c r="C203" s="193"/>
      <c r="D203" s="24"/>
      <c r="E203" s="173"/>
      <c r="F203" s="24"/>
      <c r="G203" s="235"/>
      <c r="H203" s="215"/>
      <c r="I203" s="174"/>
      <c r="J203" s="13"/>
      <c r="K203" s="8"/>
      <c r="L203" s="8"/>
      <c r="M203" s="8"/>
    </row>
    <row r="204" spans="1:13" ht="30" x14ac:dyDescent="0.2">
      <c r="A204" s="22">
        <v>3631</v>
      </c>
      <c r="B204" s="25">
        <v>5169</v>
      </c>
      <c r="C204" s="193" t="s">
        <v>153</v>
      </c>
      <c r="D204" s="24">
        <v>6</v>
      </c>
      <c r="E204" s="173">
        <v>6</v>
      </c>
      <c r="F204" s="24">
        <v>0</v>
      </c>
      <c r="G204" s="222">
        <v>0</v>
      </c>
      <c r="H204" s="215">
        <v>6</v>
      </c>
      <c r="I204" s="174"/>
    </row>
    <row r="205" spans="1:13" s="6" customFormat="1" ht="15.75" x14ac:dyDescent="0.25">
      <c r="A205" s="70">
        <v>3631</v>
      </c>
      <c r="B205" s="71"/>
      <c r="C205" s="195" t="s">
        <v>56</v>
      </c>
      <c r="D205" s="64">
        <f>SUM(D204)</f>
        <v>6</v>
      </c>
      <c r="E205" s="177">
        <f>SUM(E204)</f>
        <v>6</v>
      </c>
      <c r="F205" s="64">
        <f>SUM(F204)</f>
        <v>0</v>
      </c>
      <c r="G205" s="234">
        <f>SUM(G204)</f>
        <v>0</v>
      </c>
      <c r="H205" s="219">
        <f>SUM(H204)</f>
        <v>6</v>
      </c>
      <c r="I205" s="243">
        <f>H205</f>
        <v>6</v>
      </c>
      <c r="J205" s="13"/>
      <c r="K205" s="7"/>
      <c r="L205" s="7"/>
      <c r="M205" s="7"/>
    </row>
    <row r="206" spans="1:13" x14ac:dyDescent="0.2">
      <c r="A206" s="22"/>
      <c r="B206" s="25"/>
      <c r="C206" s="193"/>
      <c r="D206" s="24"/>
      <c r="E206" s="173"/>
      <c r="F206" s="24"/>
      <c r="G206" s="235"/>
      <c r="H206" s="215"/>
      <c r="I206" s="174"/>
    </row>
    <row r="207" spans="1:13" x14ac:dyDescent="0.2">
      <c r="A207" s="22">
        <v>3632</v>
      </c>
      <c r="B207" s="170">
        <v>5011</v>
      </c>
      <c r="C207" s="198" t="s">
        <v>21</v>
      </c>
      <c r="D207" s="24">
        <v>125</v>
      </c>
      <c r="E207" s="173">
        <f>125+21.3</f>
        <v>146.30000000000001</v>
      </c>
      <c r="F207" s="24">
        <v>94582</v>
      </c>
      <c r="G207" s="222">
        <v>146300</v>
      </c>
      <c r="H207" s="215">
        <v>153</v>
      </c>
      <c r="I207" s="174"/>
    </row>
    <row r="208" spans="1:13" x14ac:dyDescent="0.2">
      <c r="A208" s="181">
        <v>3632</v>
      </c>
      <c r="B208" s="182">
        <v>5021</v>
      </c>
      <c r="C208" s="196" t="s">
        <v>24</v>
      </c>
      <c r="D208" s="24">
        <v>6</v>
      </c>
      <c r="E208" s="202">
        <f>6</f>
        <v>6</v>
      </c>
      <c r="F208" s="24">
        <v>1875</v>
      </c>
      <c r="G208" s="222">
        <v>6000</v>
      </c>
      <c r="H208" s="215">
        <v>6</v>
      </c>
      <c r="I208" s="174"/>
    </row>
    <row r="209" spans="1:13" x14ac:dyDescent="0.2">
      <c r="A209" s="181">
        <v>3632</v>
      </c>
      <c r="B209" s="182">
        <v>5031</v>
      </c>
      <c r="C209" s="190" t="s">
        <v>47</v>
      </c>
      <c r="D209" s="24">
        <v>31</v>
      </c>
      <c r="E209" s="202">
        <f>31+5.5</f>
        <v>36.5</v>
      </c>
      <c r="F209" s="24">
        <v>25839</v>
      </c>
      <c r="G209" s="222">
        <v>36500</v>
      </c>
      <c r="H209" s="215">
        <v>38</v>
      </c>
      <c r="I209" s="174"/>
    </row>
    <row r="210" spans="1:13" x14ac:dyDescent="0.2">
      <c r="A210" s="181">
        <v>3632</v>
      </c>
      <c r="B210" s="182">
        <v>5032</v>
      </c>
      <c r="C210" s="190" t="s">
        <v>45</v>
      </c>
      <c r="D210" s="24">
        <v>12</v>
      </c>
      <c r="E210" s="202">
        <f>12+1.9</f>
        <v>13.9</v>
      </c>
      <c r="F210" s="24">
        <v>9300</v>
      </c>
      <c r="G210" s="222">
        <v>13900</v>
      </c>
      <c r="H210" s="215">
        <v>14</v>
      </c>
      <c r="I210" s="174"/>
    </row>
    <row r="211" spans="1:13" x14ac:dyDescent="0.2">
      <c r="A211" s="181">
        <v>3632</v>
      </c>
      <c r="B211" s="182">
        <v>5137</v>
      </c>
      <c r="C211" s="190" t="s">
        <v>50</v>
      </c>
      <c r="D211" s="24">
        <v>5</v>
      </c>
      <c r="E211" s="202">
        <v>5</v>
      </c>
      <c r="F211" s="24">
        <v>0</v>
      </c>
      <c r="G211" s="222">
        <v>0</v>
      </c>
      <c r="H211" s="215">
        <v>5</v>
      </c>
      <c r="I211" s="174"/>
    </row>
    <row r="212" spans="1:13" x14ac:dyDescent="0.2">
      <c r="A212" s="181">
        <v>3632</v>
      </c>
      <c r="B212" s="182">
        <v>5139</v>
      </c>
      <c r="C212" s="190" t="s">
        <v>8</v>
      </c>
      <c r="D212" s="24">
        <v>6</v>
      </c>
      <c r="E212" s="202">
        <v>6</v>
      </c>
      <c r="F212" s="24">
        <v>932</v>
      </c>
      <c r="G212" s="222">
        <v>932</v>
      </c>
      <c r="H212" s="215">
        <v>5</v>
      </c>
      <c r="I212" s="174"/>
    </row>
    <row r="213" spans="1:13" x14ac:dyDescent="0.2">
      <c r="A213" s="181">
        <v>3632</v>
      </c>
      <c r="B213" s="182">
        <v>5151</v>
      </c>
      <c r="C213" s="190" t="s">
        <v>15</v>
      </c>
      <c r="D213" s="24">
        <v>9</v>
      </c>
      <c r="E213" s="202">
        <v>9</v>
      </c>
      <c r="F213" s="24">
        <v>4267</v>
      </c>
      <c r="G213" s="222">
        <f>F213</f>
        <v>4267</v>
      </c>
      <c r="H213" s="215">
        <v>8</v>
      </c>
      <c r="I213" s="174"/>
    </row>
    <row r="214" spans="1:13" x14ac:dyDescent="0.2">
      <c r="A214" s="181">
        <v>3632</v>
      </c>
      <c r="B214" s="182">
        <v>5154</v>
      </c>
      <c r="C214" s="190" t="s">
        <v>17</v>
      </c>
      <c r="D214" s="24">
        <v>6</v>
      </c>
      <c r="E214" s="202">
        <v>6</v>
      </c>
      <c r="F214" s="24">
        <v>2068</v>
      </c>
      <c r="G214" s="222">
        <v>2068</v>
      </c>
      <c r="H214" s="215">
        <v>5</v>
      </c>
      <c r="I214" s="174"/>
    </row>
    <row r="215" spans="1:13" x14ac:dyDescent="0.2">
      <c r="A215" s="181">
        <v>3632</v>
      </c>
      <c r="B215" s="182">
        <v>5156</v>
      </c>
      <c r="C215" s="190" t="s">
        <v>82</v>
      </c>
      <c r="D215" s="24">
        <v>1</v>
      </c>
      <c r="E215" s="202">
        <v>1</v>
      </c>
      <c r="F215" s="24">
        <v>0</v>
      </c>
      <c r="G215" s="222">
        <v>0</v>
      </c>
      <c r="H215" s="215">
        <v>1</v>
      </c>
      <c r="I215" s="174"/>
    </row>
    <row r="216" spans="1:13" x14ac:dyDescent="0.2">
      <c r="A216" s="181">
        <v>3632</v>
      </c>
      <c r="B216" s="182">
        <v>5164</v>
      </c>
      <c r="C216" s="190" t="s">
        <v>89</v>
      </c>
      <c r="D216" s="24">
        <v>1</v>
      </c>
      <c r="E216" s="202">
        <v>1</v>
      </c>
      <c r="F216" s="24">
        <v>0</v>
      </c>
      <c r="G216" s="222">
        <v>0</v>
      </c>
      <c r="H216" s="215">
        <v>1</v>
      </c>
      <c r="I216" s="174"/>
    </row>
    <row r="217" spans="1:13" ht="30" x14ac:dyDescent="0.2">
      <c r="A217" s="181">
        <v>3632</v>
      </c>
      <c r="B217" s="182">
        <v>5169</v>
      </c>
      <c r="C217" s="190" t="s">
        <v>367</v>
      </c>
      <c r="D217" s="24">
        <v>20</v>
      </c>
      <c r="E217" s="202">
        <v>20</v>
      </c>
      <c r="F217" s="24">
        <v>6231.5</v>
      </c>
      <c r="G217" s="222">
        <v>6231.5</v>
      </c>
      <c r="H217" s="215">
        <v>30</v>
      </c>
      <c r="I217" s="174"/>
    </row>
    <row r="218" spans="1:13" x14ac:dyDescent="0.2">
      <c r="A218" s="181">
        <v>3632</v>
      </c>
      <c r="B218" s="182">
        <v>5171</v>
      </c>
      <c r="C218" s="190" t="s">
        <v>377</v>
      </c>
      <c r="D218" s="24">
        <v>100</v>
      </c>
      <c r="E218" s="202">
        <v>100</v>
      </c>
      <c r="F218" s="24">
        <v>57753.3</v>
      </c>
      <c r="G218" s="222">
        <v>57753.3</v>
      </c>
      <c r="H218" s="215">
        <v>100</v>
      </c>
      <c r="I218" s="174"/>
    </row>
    <row r="219" spans="1:13" ht="30" x14ac:dyDescent="0.2">
      <c r="A219" s="181">
        <v>3632</v>
      </c>
      <c r="B219" s="182">
        <v>6121</v>
      </c>
      <c r="C219" s="190" t="s">
        <v>368</v>
      </c>
      <c r="D219" s="24"/>
      <c r="E219" s="202"/>
      <c r="F219" s="24"/>
      <c r="G219" s="222"/>
      <c r="H219" s="215">
        <v>200</v>
      </c>
      <c r="I219" s="174"/>
    </row>
    <row r="220" spans="1:13" s="3" customFormat="1" ht="15.75" x14ac:dyDescent="0.25">
      <c r="A220" s="65">
        <v>3632</v>
      </c>
      <c r="B220" s="66"/>
      <c r="C220" s="199" t="s">
        <v>25</v>
      </c>
      <c r="D220" s="68">
        <f>SUM(D207:D219)</f>
        <v>322</v>
      </c>
      <c r="E220" s="68">
        <f t="shared" ref="E220:H220" si="5">SUM(E207:E219)</f>
        <v>350.70000000000005</v>
      </c>
      <c r="F220" s="68">
        <f t="shared" si="5"/>
        <v>202847.8</v>
      </c>
      <c r="G220" s="238">
        <f t="shared" si="5"/>
        <v>273951.8</v>
      </c>
      <c r="H220" s="245">
        <f t="shared" si="5"/>
        <v>566</v>
      </c>
      <c r="I220" s="243">
        <f>H220</f>
        <v>566</v>
      </c>
      <c r="J220" s="13"/>
      <c r="K220" s="5"/>
      <c r="L220" s="5"/>
      <c r="M220" s="5"/>
    </row>
    <row r="221" spans="1:13" x14ac:dyDescent="0.2">
      <c r="A221" s="22"/>
      <c r="B221" s="25"/>
      <c r="C221" s="193"/>
      <c r="D221" s="24"/>
      <c r="E221" s="173"/>
      <c r="F221" s="24"/>
      <c r="G221" s="235"/>
      <c r="H221" s="215"/>
      <c r="I221" s="174"/>
    </row>
    <row r="222" spans="1:13" x14ac:dyDescent="0.2">
      <c r="A222" s="22">
        <v>3635</v>
      </c>
      <c r="B222" s="25">
        <v>5166</v>
      </c>
      <c r="C222" s="193" t="s">
        <v>30</v>
      </c>
      <c r="D222" s="24">
        <v>250</v>
      </c>
      <c r="E222" s="173">
        <v>250</v>
      </c>
      <c r="F222" s="24">
        <v>107145</v>
      </c>
      <c r="G222" s="222">
        <v>107145</v>
      </c>
      <c r="H222" s="215">
        <v>250</v>
      </c>
      <c r="I222" s="174"/>
    </row>
    <row r="223" spans="1:13" s="3" customFormat="1" ht="15.75" x14ac:dyDescent="0.25">
      <c r="A223" s="65">
        <v>3635</v>
      </c>
      <c r="B223" s="66"/>
      <c r="C223" s="192" t="s">
        <v>26</v>
      </c>
      <c r="D223" s="68">
        <f>SUM(D222:D222)</f>
        <v>250</v>
      </c>
      <c r="E223" s="203">
        <f>SUM(E222:E222)</f>
        <v>250</v>
      </c>
      <c r="F223" s="68">
        <f>SUM(F222:F222)</f>
        <v>107145</v>
      </c>
      <c r="G223" s="238">
        <f>SUM(G222:G222)</f>
        <v>107145</v>
      </c>
      <c r="H223" s="245">
        <f>SUM(H222:H222)</f>
        <v>250</v>
      </c>
      <c r="I223" s="243">
        <f>H223</f>
        <v>250</v>
      </c>
      <c r="J223" s="13"/>
      <c r="K223" s="5"/>
      <c r="L223" s="5"/>
      <c r="M223" s="5"/>
    </row>
    <row r="224" spans="1:13" s="3" customFormat="1" ht="15.75" x14ac:dyDescent="0.25">
      <c r="A224" s="65"/>
      <c r="B224" s="66"/>
      <c r="C224" s="192"/>
      <c r="D224" s="68"/>
      <c r="E224" s="203"/>
      <c r="F224" s="68"/>
      <c r="G224" s="240"/>
      <c r="H224" s="215"/>
      <c r="I224" s="174"/>
      <c r="J224" s="13"/>
      <c r="K224" s="5"/>
      <c r="L224" s="5"/>
      <c r="M224" s="5"/>
    </row>
    <row r="225" spans="1:13" s="12" customFormat="1" x14ac:dyDescent="0.2">
      <c r="A225" s="22">
        <v>3639</v>
      </c>
      <c r="B225" s="25">
        <v>5151</v>
      </c>
      <c r="C225" s="193" t="s">
        <v>15</v>
      </c>
      <c r="D225" s="24">
        <v>4</v>
      </c>
      <c r="E225" s="173">
        <v>4</v>
      </c>
      <c r="F225" s="24">
        <v>261</v>
      </c>
      <c r="G225" s="222">
        <v>261</v>
      </c>
      <c r="H225" s="215">
        <v>4</v>
      </c>
      <c r="I225" s="174"/>
      <c r="J225" s="13"/>
      <c r="K225" s="13"/>
      <c r="L225" s="13"/>
      <c r="M225" s="13"/>
    </row>
    <row r="226" spans="1:13" s="10" customFormat="1" x14ac:dyDescent="0.2">
      <c r="A226" s="22">
        <v>3639</v>
      </c>
      <c r="B226" s="25">
        <v>5154</v>
      </c>
      <c r="C226" s="193" t="s">
        <v>119</v>
      </c>
      <c r="D226" s="24">
        <v>5</v>
      </c>
      <c r="E226" s="173">
        <v>5</v>
      </c>
      <c r="F226" s="24">
        <v>3722</v>
      </c>
      <c r="G226" s="222">
        <v>3722</v>
      </c>
      <c r="H226" s="215">
        <v>6</v>
      </c>
      <c r="I226" s="174"/>
      <c r="J226" s="13"/>
      <c r="K226" s="8"/>
      <c r="L226" s="8"/>
      <c r="M226" s="8"/>
    </row>
    <row r="227" spans="1:13" s="10" customFormat="1" ht="30" x14ac:dyDescent="0.2">
      <c r="A227" s="22">
        <v>3639</v>
      </c>
      <c r="B227" s="25">
        <v>5169</v>
      </c>
      <c r="C227" s="193" t="s">
        <v>183</v>
      </c>
      <c r="D227" s="24">
        <v>5</v>
      </c>
      <c r="E227" s="173">
        <f>5</f>
        <v>5</v>
      </c>
      <c r="F227" s="24">
        <v>6050</v>
      </c>
      <c r="G227" s="222">
        <v>6050</v>
      </c>
      <c r="H227" s="215">
        <v>8</v>
      </c>
      <c r="I227" s="174"/>
      <c r="J227" s="13"/>
      <c r="K227" s="8"/>
      <c r="L227" s="8"/>
      <c r="M227" s="8"/>
    </row>
    <row r="228" spans="1:13" s="10" customFormat="1" x14ac:dyDescent="0.2">
      <c r="A228" s="22">
        <v>3639</v>
      </c>
      <c r="B228" s="170">
        <v>5169</v>
      </c>
      <c r="C228" s="172" t="s">
        <v>371</v>
      </c>
      <c r="D228" s="24">
        <v>0</v>
      </c>
      <c r="E228" s="173">
        <v>1000</v>
      </c>
      <c r="F228" s="24">
        <v>19360</v>
      </c>
      <c r="G228" s="222">
        <v>19360</v>
      </c>
      <c r="H228" s="215">
        <v>30</v>
      </c>
      <c r="I228" s="174"/>
      <c r="J228" s="13"/>
      <c r="K228" s="8"/>
      <c r="L228" s="8"/>
      <c r="M228" s="8"/>
    </row>
    <row r="229" spans="1:13" s="10" customFormat="1" x14ac:dyDescent="0.2">
      <c r="A229" s="22">
        <v>3639</v>
      </c>
      <c r="B229" s="25">
        <v>5171</v>
      </c>
      <c r="C229" s="193" t="s">
        <v>204</v>
      </c>
      <c r="D229" s="24">
        <v>15</v>
      </c>
      <c r="E229" s="173">
        <v>15</v>
      </c>
      <c r="F229" s="24">
        <v>0</v>
      </c>
      <c r="G229" s="222">
        <v>0</v>
      </c>
      <c r="H229" s="215">
        <v>15</v>
      </c>
      <c r="I229" s="174"/>
      <c r="J229" s="13"/>
      <c r="K229" s="8"/>
      <c r="L229" s="8"/>
      <c r="M229" s="8"/>
    </row>
    <row r="230" spans="1:13" s="10" customFormat="1" x14ac:dyDescent="0.2">
      <c r="A230" s="22">
        <v>3639</v>
      </c>
      <c r="B230" s="25">
        <v>5365</v>
      </c>
      <c r="C230" s="193" t="s">
        <v>215</v>
      </c>
      <c r="D230" s="24">
        <v>0</v>
      </c>
      <c r="E230" s="173">
        <v>15</v>
      </c>
      <c r="F230" s="24">
        <v>15000</v>
      </c>
      <c r="G230" s="222">
        <v>15000</v>
      </c>
      <c r="H230" s="215">
        <v>0</v>
      </c>
      <c r="I230" s="174"/>
      <c r="J230" s="13"/>
      <c r="K230" s="8"/>
      <c r="L230" s="8"/>
      <c r="M230" s="8"/>
    </row>
    <row r="231" spans="1:13" s="10" customFormat="1" ht="30" x14ac:dyDescent="0.2">
      <c r="A231" s="22">
        <v>3639</v>
      </c>
      <c r="B231" s="25">
        <v>6121</v>
      </c>
      <c r="C231" s="193" t="s">
        <v>369</v>
      </c>
      <c r="D231" s="24"/>
      <c r="E231" s="173"/>
      <c r="F231" s="24"/>
      <c r="G231" s="222"/>
      <c r="H231" s="215">
        <v>1350</v>
      </c>
      <c r="I231" s="174"/>
      <c r="J231" s="13"/>
      <c r="K231" s="8"/>
      <c r="L231" s="8"/>
      <c r="M231" s="8"/>
    </row>
    <row r="232" spans="1:13" s="10" customFormat="1" ht="45" x14ac:dyDescent="0.2">
      <c r="A232" s="22">
        <v>3639</v>
      </c>
      <c r="B232" s="25">
        <v>6121</v>
      </c>
      <c r="C232" s="193" t="s">
        <v>370</v>
      </c>
      <c r="D232" s="24"/>
      <c r="E232" s="173"/>
      <c r="F232" s="24"/>
      <c r="G232" s="222"/>
      <c r="H232" s="215">
        <v>130</v>
      </c>
      <c r="I232" s="174"/>
      <c r="J232" s="13"/>
      <c r="K232" s="8"/>
      <c r="L232" s="8"/>
      <c r="M232" s="8"/>
    </row>
    <row r="233" spans="1:13" s="10" customFormat="1" ht="30" x14ac:dyDescent="0.2">
      <c r="A233" s="22">
        <v>3639</v>
      </c>
      <c r="B233" s="25">
        <v>6122</v>
      </c>
      <c r="C233" s="193" t="s">
        <v>378</v>
      </c>
      <c r="D233" s="24"/>
      <c r="E233" s="173"/>
      <c r="F233" s="24"/>
      <c r="G233" s="222"/>
      <c r="H233" s="215">
        <v>100</v>
      </c>
      <c r="I233" s="174"/>
      <c r="J233" s="13"/>
      <c r="K233" s="8"/>
      <c r="L233" s="8"/>
      <c r="M233" s="8"/>
    </row>
    <row r="234" spans="1:13" s="3" customFormat="1" ht="15.75" x14ac:dyDescent="0.25">
      <c r="A234" s="65">
        <v>3639</v>
      </c>
      <c r="B234" s="66"/>
      <c r="C234" s="192" t="s">
        <v>65</v>
      </c>
      <c r="D234" s="68">
        <f>SUM(D225:D233)</f>
        <v>29</v>
      </c>
      <c r="E234" s="68">
        <f t="shared" ref="E234:G234" si="6">SUM(E225:E233)</f>
        <v>1044</v>
      </c>
      <c r="F234" s="68">
        <f t="shared" si="6"/>
        <v>44393</v>
      </c>
      <c r="G234" s="68">
        <f t="shared" si="6"/>
        <v>44393</v>
      </c>
      <c r="H234" s="245">
        <f>SUM(H225:H233)</f>
        <v>1643</v>
      </c>
      <c r="I234" s="243">
        <f>H234</f>
        <v>1643</v>
      </c>
      <c r="J234" s="13"/>
      <c r="K234" s="5"/>
      <c r="L234" s="5"/>
      <c r="M234" s="5"/>
    </row>
    <row r="235" spans="1:13" s="3" customFormat="1" ht="15.75" x14ac:dyDescent="0.25">
      <c r="A235" s="65"/>
      <c r="B235" s="66"/>
      <c r="C235" s="192"/>
      <c r="D235" s="68"/>
      <c r="E235" s="203"/>
      <c r="F235" s="68"/>
      <c r="G235" s="222"/>
      <c r="H235" s="215"/>
      <c r="I235" s="174"/>
      <c r="J235" s="13"/>
      <c r="K235" s="5"/>
      <c r="L235" s="5"/>
      <c r="M235" s="5"/>
    </row>
    <row r="236" spans="1:13" s="3" customFormat="1" x14ac:dyDescent="0.2">
      <c r="A236" s="22">
        <v>3722</v>
      </c>
      <c r="B236" s="25">
        <v>5169</v>
      </c>
      <c r="C236" s="193" t="s">
        <v>9</v>
      </c>
      <c r="D236" s="24">
        <v>150</v>
      </c>
      <c r="E236" s="173">
        <v>150</v>
      </c>
      <c r="F236" s="24">
        <v>111036.66</v>
      </c>
      <c r="G236" s="222">
        <f>111036.66+9000+9000+9000+9000</f>
        <v>147036.66</v>
      </c>
      <c r="H236" s="215">
        <v>150</v>
      </c>
      <c r="I236" s="174"/>
      <c r="J236" s="13"/>
      <c r="K236" s="5"/>
      <c r="L236" s="5"/>
      <c r="M236" s="5"/>
    </row>
    <row r="237" spans="1:13" s="3" customFormat="1" ht="15.75" x14ac:dyDescent="0.25">
      <c r="A237" s="65">
        <v>3722</v>
      </c>
      <c r="B237" s="66"/>
      <c r="C237" s="192" t="s">
        <v>27</v>
      </c>
      <c r="D237" s="68">
        <f>SUM(D236)</f>
        <v>150</v>
      </c>
      <c r="E237" s="203">
        <f>SUM(E236)</f>
        <v>150</v>
      </c>
      <c r="F237" s="68">
        <f>SUM(F236)</f>
        <v>111036.66</v>
      </c>
      <c r="G237" s="238">
        <f>SUM(G236)</f>
        <v>147036.66</v>
      </c>
      <c r="H237" s="245">
        <f>SUM(H236)</f>
        <v>150</v>
      </c>
      <c r="I237" s="243">
        <f>H237</f>
        <v>150</v>
      </c>
      <c r="J237" s="13"/>
      <c r="K237" s="5"/>
      <c r="L237" s="5"/>
      <c r="M237" s="5"/>
    </row>
    <row r="238" spans="1:13" s="3" customFormat="1" ht="15.75" x14ac:dyDescent="0.25">
      <c r="A238" s="65"/>
      <c r="B238" s="66"/>
      <c r="C238" s="192"/>
      <c r="D238" s="68"/>
      <c r="E238" s="203"/>
      <c r="F238" s="68"/>
      <c r="G238" s="240"/>
      <c r="H238" s="215"/>
      <c r="I238" s="174"/>
      <c r="J238" s="13"/>
      <c r="K238" s="5"/>
      <c r="L238" s="5"/>
      <c r="M238" s="5"/>
    </row>
    <row r="239" spans="1:13" s="3" customFormat="1" x14ac:dyDescent="0.2">
      <c r="A239" s="22">
        <v>3731</v>
      </c>
      <c r="B239" s="25">
        <v>5169</v>
      </c>
      <c r="C239" s="193" t="s">
        <v>51</v>
      </c>
      <c r="D239" s="24">
        <v>8</v>
      </c>
      <c r="E239" s="173">
        <v>8</v>
      </c>
      <c r="F239" s="24">
        <v>3813</v>
      </c>
      <c r="G239" s="222">
        <v>3813</v>
      </c>
      <c r="H239" s="215">
        <v>8</v>
      </c>
      <c r="I239" s="174"/>
      <c r="J239" s="13"/>
      <c r="K239" s="5"/>
      <c r="L239" s="5"/>
      <c r="M239" s="5"/>
    </row>
    <row r="240" spans="1:13" s="3" customFormat="1" ht="31.5" x14ac:dyDescent="0.25">
      <c r="A240" s="65">
        <v>3731</v>
      </c>
      <c r="B240" s="66"/>
      <c r="C240" s="192" t="s">
        <v>131</v>
      </c>
      <c r="D240" s="68">
        <f>SUM(D239:D239)</f>
        <v>8</v>
      </c>
      <c r="E240" s="203">
        <f>SUM(E239:E239)</f>
        <v>8</v>
      </c>
      <c r="F240" s="68">
        <f>SUM(F239)</f>
        <v>3813</v>
      </c>
      <c r="G240" s="238">
        <f>SUM(G239)</f>
        <v>3813</v>
      </c>
      <c r="H240" s="245">
        <f>SUM(H239)</f>
        <v>8</v>
      </c>
      <c r="I240" s="243">
        <f>H240</f>
        <v>8</v>
      </c>
      <c r="J240" s="13"/>
      <c r="K240" s="5"/>
      <c r="L240" s="5"/>
      <c r="M240" s="5"/>
    </row>
    <row r="241" spans="1:13" s="3" customFormat="1" ht="15.75" x14ac:dyDescent="0.25">
      <c r="A241" s="65"/>
      <c r="B241" s="66"/>
      <c r="C241" s="192"/>
      <c r="D241" s="68"/>
      <c r="E241" s="203"/>
      <c r="F241" s="68"/>
      <c r="G241" s="240"/>
      <c r="H241" s="215"/>
      <c r="I241" s="174"/>
      <c r="J241" s="13"/>
      <c r="K241" s="5"/>
      <c r="L241" s="5"/>
      <c r="M241" s="5"/>
    </row>
    <row r="242" spans="1:13" s="3" customFormat="1" ht="30" x14ac:dyDescent="0.2">
      <c r="A242" s="22">
        <v>3745</v>
      </c>
      <c r="B242" s="170">
        <v>5137</v>
      </c>
      <c r="C242" s="193" t="s">
        <v>348</v>
      </c>
      <c r="D242" s="24">
        <v>100</v>
      </c>
      <c r="E242" s="173">
        <v>100</v>
      </c>
      <c r="F242" s="24">
        <v>15218</v>
      </c>
      <c r="G242" s="222">
        <v>15218</v>
      </c>
      <c r="H242" s="215">
        <v>100</v>
      </c>
      <c r="I242" s="174"/>
      <c r="J242" s="13"/>
      <c r="K242" s="5"/>
      <c r="L242" s="5"/>
      <c r="M242" s="5"/>
    </row>
    <row r="243" spans="1:13" s="3" customFormat="1" ht="30" x14ac:dyDescent="0.2">
      <c r="A243" s="181">
        <v>3745</v>
      </c>
      <c r="B243" s="182">
        <v>5137</v>
      </c>
      <c r="C243" s="190" t="s">
        <v>179</v>
      </c>
      <c r="D243" s="24">
        <v>145</v>
      </c>
      <c r="E243" s="202">
        <v>145</v>
      </c>
      <c r="F243" s="24">
        <v>0</v>
      </c>
      <c r="G243" s="222">
        <v>0</v>
      </c>
      <c r="H243" s="215">
        <v>0</v>
      </c>
      <c r="I243" s="174"/>
      <c r="J243" s="13"/>
      <c r="K243" s="5"/>
      <c r="L243" s="5"/>
      <c r="M243" s="5"/>
    </row>
    <row r="244" spans="1:13" s="3" customFormat="1" x14ac:dyDescent="0.2">
      <c r="A244" s="181">
        <v>3745</v>
      </c>
      <c r="B244" s="182">
        <v>5139</v>
      </c>
      <c r="C244" s="190" t="s">
        <v>85</v>
      </c>
      <c r="D244" s="24">
        <v>30</v>
      </c>
      <c r="E244" s="202">
        <v>30</v>
      </c>
      <c r="F244" s="24">
        <v>13884</v>
      </c>
      <c r="G244" s="222">
        <v>13884</v>
      </c>
      <c r="H244" s="215">
        <v>30</v>
      </c>
      <c r="I244" s="174"/>
      <c r="J244" s="13"/>
      <c r="K244" s="5"/>
      <c r="L244" s="5"/>
      <c r="M244" s="5"/>
    </row>
    <row r="245" spans="1:13" s="3" customFormat="1" x14ac:dyDescent="0.2">
      <c r="A245" s="181">
        <v>3745</v>
      </c>
      <c r="B245" s="182">
        <v>5169</v>
      </c>
      <c r="C245" s="190" t="s">
        <v>132</v>
      </c>
      <c r="D245" s="24">
        <v>30</v>
      </c>
      <c r="E245" s="202">
        <v>30</v>
      </c>
      <c r="F245" s="24">
        <v>0</v>
      </c>
      <c r="G245" s="222">
        <v>0</v>
      </c>
      <c r="H245" s="215">
        <v>40</v>
      </c>
      <c r="I245" s="174"/>
      <c r="J245" s="13"/>
      <c r="K245" s="5"/>
      <c r="L245" s="5"/>
      <c r="M245" s="5"/>
    </row>
    <row r="246" spans="1:13" s="3" customFormat="1" x14ac:dyDescent="0.2">
      <c r="A246" s="181">
        <v>3745</v>
      </c>
      <c r="B246" s="182">
        <v>5169</v>
      </c>
      <c r="C246" s="190" t="s">
        <v>106</v>
      </c>
      <c r="D246" s="24">
        <v>2400</v>
      </c>
      <c r="E246" s="202">
        <v>2400</v>
      </c>
      <c r="F246" s="24">
        <f>2222333.99-251290.32</f>
        <v>1971043.6700000002</v>
      </c>
      <c r="G246" s="222">
        <f>F246</f>
        <v>1971043.6700000002</v>
      </c>
      <c r="H246" s="215">
        <v>2900</v>
      </c>
      <c r="I246" s="174"/>
      <c r="J246" s="13"/>
      <c r="K246" s="5"/>
      <c r="L246" s="5"/>
      <c r="M246" s="5"/>
    </row>
    <row r="247" spans="1:13" s="3" customFormat="1" ht="30" x14ac:dyDescent="0.2">
      <c r="A247" s="181">
        <v>3745</v>
      </c>
      <c r="B247" s="182">
        <v>5169</v>
      </c>
      <c r="C247" s="190" t="s">
        <v>349</v>
      </c>
      <c r="D247" s="24">
        <v>384</v>
      </c>
      <c r="E247" s="202">
        <v>384</v>
      </c>
      <c r="F247" s="24">
        <f>129129.57+122160.75</f>
        <v>251290.32</v>
      </c>
      <c r="G247" s="222">
        <f>129129.57+122160.75</f>
        <v>251290.32</v>
      </c>
      <c r="H247" s="215">
        <v>0</v>
      </c>
      <c r="I247" s="174"/>
      <c r="J247" s="13"/>
      <c r="K247" s="5"/>
      <c r="L247" s="5"/>
      <c r="M247" s="5"/>
    </row>
    <row r="248" spans="1:13" s="3" customFormat="1" ht="30" x14ac:dyDescent="0.2">
      <c r="A248" s="181">
        <v>3745</v>
      </c>
      <c r="B248" s="182">
        <v>5169</v>
      </c>
      <c r="C248" s="190" t="s">
        <v>350</v>
      </c>
      <c r="D248" s="24">
        <v>80</v>
      </c>
      <c r="E248" s="202">
        <f>80-80</f>
        <v>0</v>
      </c>
      <c r="F248" s="24">
        <v>0</v>
      </c>
      <c r="G248" s="222">
        <v>0</v>
      </c>
      <c r="H248" s="215">
        <v>300</v>
      </c>
      <c r="I248" s="174"/>
      <c r="J248" s="13"/>
      <c r="K248" s="5"/>
      <c r="L248" s="5"/>
      <c r="M248" s="5"/>
    </row>
    <row r="249" spans="1:13" s="3" customFormat="1" x14ac:dyDescent="0.2">
      <c r="A249" s="181">
        <v>3745</v>
      </c>
      <c r="B249" s="182">
        <v>5171</v>
      </c>
      <c r="C249" s="190" t="s">
        <v>133</v>
      </c>
      <c r="D249" s="24">
        <v>20</v>
      </c>
      <c r="E249" s="202">
        <v>20</v>
      </c>
      <c r="F249" s="24">
        <v>21804.6</v>
      </c>
      <c r="G249" s="222">
        <v>21804.6</v>
      </c>
      <c r="H249" s="215">
        <v>25</v>
      </c>
      <c r="I249" s="174"/>
      <c r="J249" s="13"/>
      <c r="K249" s="5"/>
      <c r="L249" s="5"/>
      <c r="M249" s="5"/>
    </row>
    <row r="250" spans="1:13" s="3" customFormat="1" ht="30" x14ac:dyDescent="0.2">
      <c r="A250" s="181">
        <v>3745</v>
      </c>
      <c r="B250" s="182">
        <v>6121</v>
      </c>
      <c r="C250" s="190" t="s">
        <v>351</v>
      </c>
      <c r="D250" s="24">
        <v>112</v>
      </c>
      <c r="E250" s="202">
        <v>112</v>
      </c>
      <c r="F250" s="24">
        <v>48400</v>
      </c>
      <c r="G250" s="222">
        <v>48400</v>
      </c>
      <c r="H250" s="215">
        <v>0</v>
      </c>
      <c r="I250" s="174"/>
      <c r="J250" s="13"/>
      <c r="K250" s="5"/>
      <c r="L250" s="5"/>
      <c r="M250" s="5"/>
    </row>
    <row r="251" spans="1:13" s="3" customFormat="1" x14ac:dyDescent="0.2">
      <c r="A251" s="181">
        <v>3745</v>
      </c>
      <c r="B251" s="182">
        <v>6121</v>
      </c>
      <c r="C251" s="190" t="s">
        <v>352</v>
      </c>
      <c r="D251" s="24"/>
      <c r="E251" s="202"/>
      <c r="F251" s="24"/>
      <c r="G251" s="222"/>
      <c r="H251" s="215">
        <v>150</v>
      </c>
      <c r="I251" s="174"/>
      <c r="J251" s="13"/>
      <c r="K251" s="5"/>
      <c r="L251" s="5"/>
      <c r="M251" s="5"/>
    </row>
    <row r="252" spans="1:13" s="3" customFormat="1" x14ac:dyDescent="0.2">
      <c r="A252" s="181">
        <v>3745</v>
      </c>
      <c r="B252" s="182">
        <v>6129</v>
      </c>
      <c r="C252" s="190" t="s">
        <v>353</v>
      </c>
      <c r="D252" s="24"/>
      <c r="E252" s="202"/>
      <c r="F252" s="24"/>
      <c r="G252" s="222"/>
      <c r="H252" s="215">
        <v>500</v>
      </c>
      <c r="I252" s="174"/>
      <c r="J252" s="13"/>
      <c r="K252" s="5"/>
      <c r="L252" s="5"/>
      <c r="M252" s="5"/>
    </row>
    <row r="253" spans="1:13" s="3" customFormat="1" ht="15.75" x14ac:dyDescent="0.25">
      <c r="A253" s="65">
        <v>3745</v>
      </c>
      <c r="B253" s="66"/>
      <c r="C253" s="192" t="s">
        <v>34</v>
      </c>
      <c r="D253" s="68">
        <f>SUM(D242:D252)</f>
        <v>3301</v>
      </c>
      <c r="E253" s="68">
        <f t="shared" ref="E253:G253" si="7">SUM(E242:E252)</f>
        <v>3221</v>
      </c>
      <c r="F253" s="68">
        <f t="shared" si="7"/>
        <v>2321640.5900000003</v>
      </c>
      <c r="G253" s="68">
        <f t="shared" si="7"/>
        <v>2321640.5900000003</v>
      </c>
      <c r="H253" s="245">
        <f>SUM(H242:H252)</f>
        <v>4045</v>
      </c>
      <c r="I253" s="243">
        <f>H253</f>
        <v>4045</v>
      </c>
      <c r="J253" s="13"/>
      <c r="K253" s="5"/>
      <c r="L253" s="5"/>
      <c r="M253" s="5"/>
    </row>
    <row r="254" spans="1:13" s="3" customFormat="1" ht="15.75" x14ac:dyDescent="0.25">
      <c r="A254" s="22"/>
      <c r="B254" s="25"/>
      <c r="C254" s="193"/>
      <c r="D254" s="24"/>
      <c r="E254" s="203"/>
      <c r="F254" s="68"/>
      <c r="G254" s="240"/>
      <c r="H254" s="215"/>
      <c r="I254" s="174"/>
      <c r="J254" s="13"/>
      <c r="K254" s="5"/>
      <c r="L254" s="5"/>
      <c r="M254" s="5"/>
    </row>
    <row r="255" spans="1:13" s="3" customFormat="1" x14ac:dyDescent="0.2">
      <c r="A255" s="22">
        <v>3900</v>
      </c>
      <c r="B255" s="25">
        <v>5161</v>
      </c>
      <c r="C255" s="193" t="s">
        <v>18</v>
      </c>
      <c r="D255" s="24">
        <v>10</v>
      </c>
      <c r="E255" s="173">
        <v>10</v>
      </c>
      <c r="F255" s="24">
        <v>6292</v>
      </c>
      <c r="G255" s="222">
        <v>6292</v>
      </c>
      <c r="H255" s="215">
        <v>10.1</v>
      </c>
      <c r="I255" s="174"/>
      <c r="J255" s="13"/>
      <c r="K255" s="5"/>
      <c r="L255" s="5"/>
      <c r="M255" s="5"/>
    </row>
    <row r="256" spans="1:13" s="3" customFormat="1" x14ac:dyDescent="0.2">
      <c r="A256" s="22">
        <v>3900</v>
      </c>
      <c r="B256" s="25">
        <v>5194</v>
      </c>
      <c r="C256" s="193" t="s">
        <v>162</v>
      </c>
      <c r="D256" s="24">
        <v>21</v>
      </c>
      <c r="E256" s="173">
        <v>21</v>
      </c>
      <c r="F256" s="24">
        <v>8271</v>
      </c>
      <c r="G256" s="222">
        <v>8271</v>
      </c>
      <c r="H256" s="215">
        <v>22.5</v>
      </c>
      <c r="I256" s="174"/>
      <c r="J256" s="13"/>
      <c r="K256" s="5"/>
      <c r="L256" s="5"/>
      <c r="M256" s="5"/>
    </row>
    <row r="257" spans="1:13" s="3" customFormat="1" ht="30" x14ac:dyDescent="0.2">
      <c r="A257" s="22">
        <v>3900</v>
      </c>
      <c r="B257" s="25">
        <v>5221</v>
      </c>
      <c r="C257" s="193" t="s">
        <v>346</v>
      </c>
      <c r="D257" s="24">
        <v>20</v>
      </c>
      <c r="E257" s="173">
        <v>20</v>
      </c>
      <c r="F257" s="24">
        <v>25000</v>
      </c>
      <c r="G257" s="222">
        <v>25000</v>
      </c>
      <c r="H257" s="215">
        <v>25</v>
      </c>
      <c r="I257" s="174"/>
      <c r="J257" s="13"/>
      <c r="K257" s="5"/>
      <c r="L257" s="5"/>
      <c r="M257" s="5"/>
    </row>
    <row r="258" spans="1:13" s="3" customFormat="1" x14ac:dyDescent="0.2">
      <c r="A258" s="22">
        <v>3900</v>
      </c>
      <c r="B258" s="25">
        <v>5222</v>
      </c>
      <c r="C258" s="193" t="s">
        <v>174</v>
      </c>
      <c r="D258" s="24">
        <v>10</v>
      </c>
      <c r="E258" s="173">
        <v>10</v>
      </c>
      <c r="F258" s="24">
        <v>0</v>
      </c>
      <c r="G258" s="222">
        <v>0</v>
      </c>
      <c r="H258" s="215">
        <v>10</v>
      </c>
      <c r="I258" s="174"/>
      <c r="J258" s="13"/>
      <c r="K258" s="5"/>
      <c r="L258" s="5"/>
      <c r="M258" s="5"/>
    </row>
    <row r="259" spans="1:13" s="3" customFormat="1" ht="30" x14ac:dyDescent="0.2">
      <c r="A259" s="181">
        <v>3900</v>
      </c>
      <c r="B259" s="182">
        <v>5339</v>
      </c>
      <c r="C259" s="175" t="s">
        <v>241</v>
      </c>
      <c r="D259" s="24">
        <v>0</v>
      </c>
      <c r="E259" s="173">
        <v>10</v>
      </c>
      <c r="F259" s="24">
        <v>10000</v>
      </c>
      <c r="G259" s="222">
        <v>10000</v>
      </c>
      <c r="H259" s="215">
        <v>0</v>
      </c>
      <c r="I259" s="174"/>
      <c r="J259" s="13"/>
      <c r="K259" s="5"/>
      <c r="L259" s="5"/>
      <c r="M259" s="5"/>
    </row>
    <row r="260" spans="1:13" s="3" customFormat="1" x14ac:dyDescent="0.2">
      <c r="A260" s="22">
        <v>3900</v>
      </c>
      <c r="B260" s="25">
        <v>5499</v>
      </c>
      <c r="C260" s="193" t="s">
        <v>95</v>
      </c>
      <c r="D260" s="24">
        <v>42</v>
      </c>
      <c r="E260" s="173">
        <v>42</v>
      </c>
      <c r="F260" s="24">
        <v>37633.5</v>
      </c>
      <c r="G260" s="222">
        <v>37633.5</v>
      </c>
      <c r="H260" s="215">
        <v>39.4</v>
      </c>
      <c r="I260" s="174"/>
      <c r="J260" s="13"/>
      <c r="K260" s="5"/>
      <c r="L260" s="5"/>
      <c r="M260" s="5"/>
    </row>
    <row r="261" spans="1:13" s="3" customFormat="1" ht="15.75" x14ac:dyDescent="0.25">
      <c r="A261" s="70">
        <v>3900</v>
      </c>
      <c r="B261" s="71"/>
      <c r="C261" s="195" t="s">
        <v>93</v>
      </c>
      <c r="D261" s="64">
        <f>SUM(D255:D260)</f>
        <v>103</v>
      </c>
      <c r="E261" s="177">
        <f>SUM(E255:E260)</f>
        <v>113</v>
      </c>
      <c r="F261" s="64">
        <f>SUM(F255:F260)</f>
        <v>87196.5</v>
      </c>
      <c r="G261" s="234">
        <f>SUM(G255:G260)</f>
        <v>87196.5</v>
      </c>
      <c r="H261" s="219">
        <f>SUM(H255:H260)</f>
        <v>107</v>
      </c>
      <c r="I261" s="243">
        <f>H261</f>
        <v>107</v>
      </c>
      <c r="J261" s="13"/>
      <c r="K261" s="5"/>
      <c r="L261" s="5"/>
      <c r="M261" s="5"/>
    </row>
    <row r="262" spans="1:13" s="3" customFormat="1" ht="15.75" x14ac:dyDescent="0.25">
      <c r="A262" s="22"/>
      <c r="B262" s="25"/>
      <c r="C262" s="193"/>
      <c r="D262" s="24"/>
      <c r="E262" s="203"/>
      <c r="F262" s="68"/>
      <c r="G262" s="240"/>
      <c r="H262" s="215"/>
      <c r="I262" s="174"/>
      <c r="J262" s="13"/>
      <c r="K262" s="5"/>
      <c r="L262" s="5"/>
      <c r="M262" s="5"/>
    </row>
    <row r="263" spans="1:13" s="10" customFormat="1" x14ac:dyDescent="0.2">
      <c r="A263" s="22">
        <v>4341</v>
      </c>
      <c r="B263" s="25">
        <v>5492</v>
      </c>
      <c r="C263" s="193" t="s">
        <v>57</v>
      </c>
      <c r="D263" s="24">
        <v>20</v>
      </c>
      <c r="E263" s="173">
        <v>20</v>
      </c>
      <c r="F263" s="24">
        <v>0</v>
      </c>
      <c r="G263" s="222">
        <v>0</v>
      </c>
      <c r="H263" s="215">
        <v>20</v>
      </c>
      <c r="I263" s="174"/>
      <c r="J263" s="13"/>
      <c r="K263" s="8"/>
      <c r="L263" s="8"/>
      <c r="M263" s="8"/>
    </row>
    <row r="264" spans="1:13" s="6" customFormat="1" ht="15.75" x14ac:dyDescent="0.25">
      <c r="A264" s="70">
        <v>4341</v>
      </c>
      <c r="B264" s="71"/>
      <c r="C264" s="195" t="s">
        <v>72</v>
      </c>
      <c r="D264" s="64">
        <f>SUM(D263:D263)</f>
        <v>20</v>
      </c>
      <c r="E264" s="177">
        <f>SUM(E263:E263)</f>
        <v>20</v>
      </c>
      <c r="F264" s="64">
        <f>SUM(F263:F263)</f>
        <v>0</v>
      </c>
      <c r="G264" s="234">
        <f>SUM(G263:G263)</f>
        <v>0</v>
      </c>
      <c r="H264" s="219">
        <f>SUM(H263:H263)</f>
        <v>20</v>
      </c>
      <c r="I264" s="243">
        <f>H264</f>
        <v>20</v>
      </c>
      <c r="J264" s="13"/>
      <c r="K264" s="7"/>
      <c r="L264" s="7"/>
      <c r="M264" s="7"/>
    </row>
    <row r="265" spans="1:13" s="3" customFormat="1" ht="15.75" x14ac:dyDescent="0.25">
      <c r="A265" s="65"/>
      <c r="B265" s="66"/>
      <c r="C265" s="192"/>
      <c r="D265" s="68"/>
      <c r="E265" s="203"/>
      <c r="F265" s="68"/>
      <c r="G265" s="240"/>
      <c r="H265" s="215"/>
      <c r="I265" s="174"/>
      <c r="J265" s="13"/>
      <c r="K265" s="5"/>
      <c r="L265" s="5"/>
      <c r="M265" s="5"/>
    </row>
    <row r="266" spans="1:13" s="12" customFormat="1" x14ac:dyDescent="0.2">
      <c r="A266" s="22">
        <v>4344</v>
      </c>
      <c r="B266" s="25">
        <v>5222</v>
      </c>
      <c r="C266" s="193" t="s">
        <v>236</v>
      </c>
      <c r="D266" s="24">
        <v>60</v>
      </c>
      <c r="E266" s="173">
        <f>60-60</f>
        <v>0</v>
      </c>
      <c r="F266" s="24">
        <v>0</v>
      </c>
      <c r="G266" s="222">
        <v>0</v>
      </c>
      <c r="H266" s="215">
        <v>60</v>
      </c>
      <c r="I266" s="174"/>
      <c r="J266" s="19"/>
      <c r="K266" s="13"/>
      <c r="L266" s="13"/>
      <c r="M266" s="13"/>
    </row>
    <row r="267" spans="1:13" s="12" customFormat="1" ht="31.5" x14ac:dyDescent="0.25">
      <c r="A267" s="22">
        <v>4344</v>
      </c>
      <c r="B267" s="25">
        <v>5222</v>
      </c>
      <c r="C267" s="28" t="s">
        <v>237</v>
      </c>
      <c r="D267" s="24">
        <v>0</v>
      </c>
      <c r="E267" s="173">
        <v>20</v>
      </c>
      <c r="F267" s="24">
        <v>20000</v>
      </c>
      <c r="G267" s="222">
        <v>20000</v>
      </c>
      <c r="H267" s="215">
        <v>0</v>
      </c>
      <c r="I267" s="174"/>
      <c r="J267" s="19"/>
      <c r="K267" s="13"/>
      <c r="L267" s="13"/>
      <c r="M267" s="13"/>
    </row>
    <row r="268" spans="1:13" s="12" customFormat="1" ht="15.75" x14ac:dyDescent="0.25">
      <c r="A268" s="22">
        <v>4344</v>
      </c>
      <c r="B268" s="25">
        <v>5222</v>
      </c>
      <c r="C268" s="176" t="s">
        <v>238</v>
      </c>
      <c r="D268" s="24">
        <v>0</v>
      </c>
      <c r="E268" s="173">
        <v>20</v>
      </c>
      <c r="F268" s="24">
        <v>20000</v>
      </c>
      <c r="G268" s="222">
        <v>20000</v>
      </c>
      <c r="H268" s="215">
        <v>0</v>
      </c>
      <c r="I268" s="174"/>
      <c r="J268" s="19"/>
      <c r="K268" s="13"/>
      <c r="L268" s="13"/>
      <c r="M268" s="13"/>
    </row>
    <row r="269" spans="1:13" s="12" customFormat="1" ht="30.75" x14ac:dyDescent="0.2">
      <c r="A269" s="22">
        <v>4344</v>
      </c>
      <c r="B269" s="25">
        <v>5222</v>
      </c>
      <c r="C269" s="176" t="s">
        <v>239</v>
      </c>
      <c r="D269" s="24">
        <v>0</v>
      </c>
      <c r="E269" s="173">
        <v>20</v>
      </c>
      <c r="F269" s="24">
        <v>20000</v>
      </c>
      <c r="G269" s="222">
        <v>20000</v>
      </c>
      <c r="H269" s="215">
        <v>0</v>
      </c>
      <c r="I269" s="174"/>
      <c r="J269" s="19"/>
      <c r="K269" s="13"/>
      <c r="L269" s="13"/>
      <c r="M269" s="13"/>
    </row>
    <row r="270" spans="1:13" s="3" customFormat="1" ht="15.75" x14ac:dyDescent="0.25">
      <c r="A270" s="65">
        <v>4344</v>
      </c>
      <c r="B270" s="66"/>
      <c r="C270" s="192" t="s">
        <v>70</v>
      </c>
      <c r="D270" s="68">
        <f>SUM(D266:D269)</f>
        <v>60</v>
      </c>
      <c r="E270" s="68">
        <f t="shared" ref="E270:H270" si="8">SUM(E266:E269)</f>
        <v>60</v>
      </c>
      <c r="F270" s="68">
        <f t="shared" si="8"/>
        <v>60000</v>
      </c>
      <c r="G270" s="238">
        <f t="shared" si="8"/>
        <v>60000</v>
      </c>
      <c r="H270" s="245">
        <f t="shared" si="8"/>
        <v>60</v>
      </c>
      <c r="I270" s="243">
        <f>H270</f>
        <v>60</v>
      </c>
      <c r="J270" s="13"/>
      <c r="K270" s="5"/>
      <c r="L270" s="5"/>
      <c r="M270" s="5"/>
    </row>
    <row r="271" spans="1:13" s="3" customFormat="1" ht="15.75" x14ac:dyDescent="0.25">
      <c r="A271" s="65"/>
      <c r="B271" s="25"/>
      <c r="C271" s="197"/>
      <c r="D271" s="28"/>
      <c r="E271" s="173"/>
      <c r="F271" s="24"/>
      <c r="G271" s="235"/>
      <c r="H271" s="215"/>
      <c r="I271" s="174"/>
      <c r="J271" s="13"/>
      <c r="K271" s="5"/>
      <c r="L271" s="5"/>
      <c r="M271" s="5"/>
    </row>
    <row r="272" spans="1:13" s="3" customFormat="1" x14ac:dyDescent="0.2">
      <c r="A272" s="22">
        <v>4357</v>
      </c>
      <c r="B272" s="25">
        <v>5041</v>
      </c>
      <c r="C272" s="193" t="s">
        <v>149</v>
      </c>
      <c r="D272" s="24">
        <v>2</v>
      </c>
      <c r="E272" s="173">
        <v>2</v>
      </c>
      <c r="F272" s="24">
        <v>605</v>
      </c>
      <c r="G272" s="222">
        <v>605</v>
      </c>
      <c r="H272" s="215">
        <v>2</v>
      </c>
      <c r="I272" s="174"/>
      <c r="J272" s="13"/>
      <c r="K272" s="5"/>
      <c r="L272" s="5"/>
      <c r="M272" s="5"/>
    </row>
    <row r="273" spans="1:13" s="10" customFormat="1" ht="30" x14ac:dyDescent="0.2">
      <c r="A273" s="22">
        <v>4357</v>
      </c>
      <c r="B273" s="25">
        <v>5137</v>
      </c>
      <c r="C273" s="193" t="s">
        <v>184</v>
      </c>
      <c r="D273" s="24">
        <v>13</v>
      </c>
      <c r="E273" s="173">
        <v>13</v>
      </c>
      <c r="F273" s="24">
        <v>0</v>
      </c>
      <c r="G273" s="222">
        <v>0</v>
      </c>
      <c r="H273" s="215">
        <v>0</v>
      </c>
      <c r="I273" s="174"/>
      <c r="J273" s="13"/>
      <c r="K273" s="8"/>
      <c r="L273" s="8"/>
      <c r="M273" s="8"/>
    </row>
    <row r="274" spans="1:13" s="10" customFormat="1" ht="30" x14ac:dyDescent="0.2">
      <c r="A274" s="22">
        <v>4357</v>
      </c>
      <c r="B274" s="25">
        <v>5139</v>
      </c>
      <c r="C274" s="193" t="s">
        <v>309</v>
      </c>
      <c r="D274" s="24">
        <v>0</v>
      </c>
      <c r="E274" s="173">
        <v>0</v>
      </c>
      <c r="F274" s="24">
        <v>13095</v>
      </c>
      <c r="G274" s="222">
        <v>13095</v>
      </c>
      <c r="H274" s="215">
        <v>0</v>
      </c>
      <c r="I274" s="174"/>
      <c r="J274" s="13"/>
      <c r="K274" s="8"/>
      <c r="L274" s="8"/>
      <c r="M274" s="8"/>
    </row>
    <row r="275" spans="1:13" s="10" customFormat="1" x14ac:dyDescent="0.2">
      <c r="A275" s="22">
        <v>4357</v>
      </c>
      <c r="B275" s="25">
        <v>5139</v>
      </c>
      <c r="C275" s="193" t="s">
        <v>385</v>
      </c>
      <c r="D275" s="24">
        <v>5</v>
      </c>
      <c r="E275" s="173">
        <v>5</v>
      </c>
      <c r="F275" s="24">
        <v>84</v>
      </c>
      <c r="G275" s="222">
        <v>84</v>
      </c>
      <c r="H275" s="215">
        <v>20</v>
      </c>
      <c r="I275" s="174"/>
      <c r="J275" s="13"/>
      <c r="K275" s="8"/>
      <c r="L275" s="8"/>
      <c r="M275" s="8"/>
    </row>
    <row r="276" spans="1:13" s="10" customFormat="1" x14ac:dyDescent="0.2">
      <c r="A276" s="22">
        <v>4357</v>
      </c>
      <c r="B276" s="25">
        <v>5169</v>
      </c>
      <c r="C276" s="193" t="s">
        <v>96</v>
      </c>
      <c r="D276" s="24">
        <v>25</v>
      </c>
      <c r="E276" s="173">
        <v>25</v>
      </c>
      <c r="F276" s="24">
        <v>20000</v>
      </c>
      <c r="G276" s="222">
        <v>25000</v>
      </c>
      <c r="H276" s="215">
        <v>30</v>
      </c>
      <c r="I276" s="174"/>
      <c r="J276" s="13"/>
      <c r="K276" s="8"/>
      <c r="L276" s="8"/>
      <c r="M276" s="8"/>
    </row>
    <row r="277" spans="1:13" s="10" customFormat="1" x14ac:dyDescent="0.2">
      <c r="A277" s="22">
        <v>4357</v>
      </c>
      <c r="B277" s="25">
        <v>5169</v>
      </c>
      <c r="C277" s="193" t="s">
        <v>273</v>
      </c>
      <c r="D277" s="24">
        <v>35</v>
      </c>
      <c r="E277" s="173">
        <v>35</v>
      </c>
      <c r="F277" s="24">
        <f>6655+10986.8+12065</f>
        <v>29706.799999999999</v>
      </c>
      <c r="G277" s="222">
        <f>6655+10986.8+12065</f>
        <v>29706.799999999999</v>
      </c>
      <c r="H277" s="215">
        <v>50</v>
      </c>
      <c r="I277" s="174"/>
      <c r="J277" s="13"/>
      <c r="K277" s="8"/>
      <c r="L277" s="8"/>
      <c r="M277" s="8"/>
    </row>
    <row r="278" spans="1:13" s="10" customFormat="1" ht="33.75" customHeight="1" x14ac:dyDescent="0.2">
      <c r="A278" s="22">
        <v>4357</v>
      </c>
      <c r="B278" s="25">
        <v>5171</v>
      </c>
      <c r="C278" s="200" t="s">
        <v>205</v>
      </c>
      <c r="D278" s="24">
        <v>500</v>
      </c>
      <c r="E278" s="173">
        <f>500-51</f>
        <v>449</v>
      </c>
      <c r="F278" s="24">
        <f>213528.92+7093.5</f>
        <v>220622.42</v>
      </c>
      <c r="G278" s="222">
        <f>213528.92+7093.5</f>
        <v>220622.42</v>
      </c>
      <c r="H278" s="215">
        <v>500</v>
      </c>
      <c r="I278" s="174"/>
      <c r="J278" s="13"/>
      <c r="K278" s="8"/>
      <c r="L278" s="8"/>
      <c r="M278" s="8"/>
    </row>
    <row r="279" spans="1:13" s="10" customFormat="1" ht="17.25" customHeight="1" x14ac:dyDescent="0.2">
      <c r="A279" s="22">
        <v>4357</v>
      </c>
      <c r="B279" s="25">
        <v>5175</v>
      </c>
      <c r="C279" s="190" t="s">
        <v>20</v>
      </c>
      <c r="D279" s="24">
        <v>10</v>
      </c>
      <c r="E279" s="173">
        <v>10</v>
      </c>
      <c r="F279" s="24">
        <v>12965</v>
      </c>
      <c r="G279" s="222">
        <v>12965</v>
      </c>
      <c r="H279" s="215">
        <v>15</v>
      </c>
      <c r="I279" s="174"/>
      <c r="J279" s="13"/>
      <c r="K279" s="8"/>
      <c r="L279" s="8"/>
      <c r="M279" s="8"/>
    </row>
    <row r="280" spans="1:13" s="10" customFormat="1" ht="18.75" customHeight="1" x14ac:dyDescent="0.2">
      <c r="A280" s="22">
        <v>4357</v>
      </c>
      <c r="B280" s="25">
        <v>5194</v>
      </c>
      <c r="C280" s="193" t="s">
        <v>206</v>
      </c>
      <c r="D280" s="24">
        <v>5</v>
      </c>
      <c r="E280" s="173">
        <v>5</v>
      </c>
      <c r="F280" s="24">
        <v>2078</v>
      </c>
      <c r="G280" s="222">
        <v>2078</v>
      </c>
      <c r="H280" s="215">
        <v>5</v>
      </c>
      <c r="I280" s="174"/>
      <c r="J280" s="13"/>
      <c r="K280" s="8"/>
      <c r="L280" s="8"/>
      <c r="M280" s="8"/>
    </row>
    <row r="281" spans="1:13" s="10" customFormat="1" ht="45.75" customHeight="1" x14ac:dyDescent="0.2">
      <c r="A281" s="22">
        <v>4357</v>
      </c>
      <c r="B281" s="25">
        <v>6121</v>
      </c>
      <c r="C281" s="193" t="s">
        <v>372</v>
      </c>
      <c r="D281" s="24">
        <v>0</v>
      </c>
      <c r="E281" s="173">
        <v>51</v>
      </c>
      <c r="F281" s="24">
        <v>51149.120000000003</v>
      </c>
      <c r="G281" s="222">
        <v>51149.120000000003</v>
      </c>
      <c r="H281" s="215">
        <v>500</v>
      </c>
      <c r="I281" s="174"/>
      <c r="J281" s="2"/>
      <c r="K281" s="8"/>
      <c r="L281" s="8"/>
      <c r="M281" s="8"/>
    </row>
    <row r="282" spans="1:13" s="3" customFormat="1" ht="31.5" x14ac:dyDescent="0.25">
      <c r="A282" s="65">
        <v>4357</v>
      </c>
      <c r="B282" s="66"/>
      <c r="C282" s="192" t="s">
        <v>379</v>
      </c>
      <c r="D282" s="68">
        <f>SUM(D272:D281)</f>
        <v>595</v>
      </c>
      <c r="E282" s="203">
        <f>SUM(E272:E281)</f>
        <v>595</v>
      </c>
      <c r="F282" s="68">
        <f>SUM(F272:F281)</f>
        <v>350305.34</v>
      </c>
      <c r="G282" s="238">
        <f>SUM(G272:G281)</f>
        <v>355305.34</v>
      </c>
      <c r="H282" s="245">
        <f>SUM(H272:H281)</f>
        <v>1122</v>
      </c>
      <c r="I282" s="243">
        <f>H282</f>
        <v>1122</v>
      </c>
      <c r="J282" s="13"/>
      <c r="K282" s="5"/>
      <c r="L282" s="5"/>
      <c r="M282" s="5"/>
    </row>
    <row r="283" spans="1:13" s="3" customFormat="1" ht="15.75" x14ac:dyDescent="0.25">
      <c r="A283" s="65"/>
      <c r="B283" s="66"/>
      <c r="C283" s="192"/>
      <c r="D283" s="68"/>
      <c r="E283" s="203"/>
      <c r="F283" s="68"/>
      <c r="G283" s="240"/>
      <c r="H283" s="215"/>
      <c r="I283" s="174"/>
      <c r="J283" s="13"/>
      <c r="K283" s="5"/>
      <c r="L283" s="5"/>
      <c r="M283" s="5"/>
    </row>
    <row r="284" spans="1:13" s="3" customFormat="1" x14ac:dyDescent="0.2">
      <c r="A284" s="22">
        <v>4359</v>
      </c>
      <c r="B284" s="25">
        <v>5139</v>
      </c>
      <c r="C284" s="193" t="s">
        <v>8</v>
      </c>
      <c r="D284" s="24">
        <v>2</v>
      </c>
      <c r="E284" s="173">
        <v>2</v>
      </c>
      <c r="F284" s="24">
        <v>0</v>
      </c>
      <c r="G284" s="222">
        <v>0</v>
      </c>
      <c r="H284" s="215">
        <v>2</v>
      </c>
      <c r="I284" s="174"/>
      <c r="J284" s="13"/>
      <c r="K284" s="5"/>
      <c r="L284" s="5"/>
      <c r="M284" s="5"/>
    </row>
    <row r="285" spans="1:13" s="3" customFormat="1" x14ac:dyDescent="0.2">
      <c r="A285" s="22">
        <v>4359</v>
      </c>
      <c r="B285" s="25">
        <v>5169</v>
      </c>
      <c r="C285" s="193" t="s">
        <v>163</v>
      </c>
      <c r="D285" s="24">
        <v>4</v>
      </c>
      <c r="E285" s="173">
        <v>4</v>
      </c>
      <c r="F285" s="24">
        <v>0</v>
      </c>
      <c r="G285" s="222">
        <v>0</v>
      </c>
      <c r="H285" s="215">
        <v>4</v>
      </c>
      <c r="I285" s="174"/>
      <c r="J285" s="13"/>
      <c r="K285" s="5"/>
      <c r="L285" s="5"/>
      <c r="M285" s="5"/>
    </row>
    <row r="286" spans="1:13" s="3" customFormat="1" x14ac:dyDescent="0.2">
      <c r="A286" s="69">
        <v>4359</v>
      </c>
      <c r="B286" s="73">
        <v>5175</v>
      </c>
      <c r="C286" s="198" t="s">
        <v>20</v>
      </c>
      <c r="D286" s="24">
        <v>4</v>
      </c>
      <c r="E286" s="173">
        <v>4</v>
      </c>
      <c r="F286" s="24">
        <v>1494</v>
      </c>
      <c r="G286" s="222">
        <v>1494</v>
      </c>
      <c r="H286" s="215">
        <v>4</v>
      </c>
      <c r="I286" s="174"/>
      <c r="J286" s="13"/>
      <c r="K286" s="5"/>
      <c r="L286" s="5"/>
      <c r="M286" s="5"/>
    </row>
    <row r="287" spans="1:13" s="3" customFormat="1" ht="15.75" x14ac:dyDescent="0.25">
      <c r="A287" s="65">
        <v>4359</v>
      </c>
      <c r="B287" s="66"/>
      <c r="C287" s="192" t="s">
        <v>73</v>
      </c>
      <c r="D287" s="68">
        <f>SUM(D284:D286)</f>
        <v>10</v>
      </c>
      <c r="E287" s="203">
        <f>SUM(E284:E286)</f>
        <v>10</v>
      </c>
      <c r="F287" s="68">
        <f>SUM(F284:F286)</f>
        <v>1494</v>
      </c>
      <c r="G287" s="238">
        <f>SUM(G284:G286)</f>
        <v>1494</v>
      </c>
      <c r="H287" s="245">
        <f>SUM(H284:H286)</f>
        <v>10</v>
      </c>
      <c r="I287" s="243">
        <f>H287</f>
        <v>10</v>
      </c>
      <c r="J287" s="13"/>
      <c r="K287" s="5"/>
      <c r="L287" s="5"/>
      <c r="M287" s="5"/>
    </row>
    <row r="288" spans="1:13" s="3" customFormat="1" ht="15.75" x14ac:dyDescent="0.25">
      <c r="A288" s="65"/>
      <c r="B288" s="66"/>
      <c r="C288" s="192"/>
      <c r="D288" s="68"/>
      <c r="E288" s="203"/>
      <c r="F288" s="68"/>
      <c r="G288" s="238"/>
      <c r="H288" s="215"/>
      <c r="I288" s="174"/>
      <c r="J288" s="13"/>
      <c r="K288" s="5"/>
      <c r="L288" s="5"/>
      <c r="M288" s="5"/>
    </row>
    <row r="289" spans="1:13" s="12" customFormat="1" x14ac:dyDescent="0.2">
      <c r="A289" s="22">
        <v>5311</v>
      </c>
      <c r="B289" s="25">
        <v>5492</v>
      </c>
      <c r="C289" s="193" t="s">
        <v>57</v>
      </c>
      <c r="D289" s="24">
        <v>16</v>
      </c>
      <c r="E289" s="173">
        <v>16</v>
      </c>
      <c r="F289" s="24">
        <v>0</v>
      </c>
      <c r="G289" s="222">
        <v>16000</v>
      </c>
      <c r="H289" s="215">
        <v>16</v>
      </c>
      <c r="I289" s="174"/>
      <c r="J289" s="13"/>
      <c r="K289" s="13"/>
      <c r="L289" s="13"/>
      <c r="M289" s="13"/>
    </row>
    <row r="290" spans="1:13" s="3" customFormat="1" ht="15.75" x14ac:dyDescent="0.25">
      <c r="A290" s="70">
        <v>5311</v>
      </c>
      <c r="B290" s="71"/>
      <c r="C290" s="195" t="s">
        <v>74</v>
      </c>
      <c r="D290" s="64">
        <f>SUM(D289:D289)</f>
        <v>16</v>
      </c>
      <c r="E290" s="177">
        <f>SUM(E289:E289)</f>
        <v>16</v>
      </c>
      <c r="F290" s="64">
        <f>SUM(F289:F289)</f>
        <v>0</v>
      </c>
      <c r="G290" s="234">
        <f>SUM(G289:G289)</f>
        <v>16000</v>
      </c>
      <c r="H290" s="219">
        <f>SUM(H289:H289)</f>
        <v>16</v>
      </c>
      <c r="I290" s="243">
        <f>H290</f>
        <v>16</v>
      </c>
      <c r="J290" s="13"/>
      <c r="K290" s="5"/>
      <c r="L290" s="5"/>
      <c r="M290" s="5"/>
    </row>
    <row r="291" spans="1:13" s="3" customFormat="1" ht="15.75" x14ac:dyDescent="0.25">
      <c r="A291" s="70"/>
      <c r="B291" s="71"/>
      <c r="C291" s="195"/>
      <c r="D291" s="64"/>
      <c r="E291" s="203"/>
      <c r="F291" s="68"/>
      <c r="G291" s="240"/>
      <c r="H291" s="215"/>
      <c r="I291" s="174"/>
      <c r="J291" s="13"/>
      <c r="K291" s="5"/>
      <c r="L291" s="5"/>
      <c r="M291" s="5"/>
    </row>
    <row r="292" spans="1:13" s="3" customFormat="1" x14ac:dyDescent="0.2">
      <c r="A292" s="22">
        <v>5512</v>
      </c>
      <c r="B292" s="25">
        <v>5132</v>
      </c>
      <c r="C292" s="193" t="s">
        <v>61</v>
      </c>
      <c r="D292" s="24">
        <v>45</v>
      </c>
      <c r="E292" s="173">
        <f>45+10</f>
        <v>55</v>
      </c>
      <c r="F292" s="24">
        <v>55869</v>
      </c>
      <c r="G292" s="222">
        <v>55869</v>
      </c>
      <c r="H292" s="215">
        <v>45</v>
      </c>
      <c r="I292" s="174"/>
      <c r="J292" s="13"/>
      <c r="K292" s="5"/>
      <c r="L292" s="5"/>
      <c r="M292" s="5"/>
    </row>
    <row r="293" spans="1:13" s="3" customFormat="1" x14ac:dyDescent="0.2">
      <c r="A293" s="22">
        <v>5512</v>
      </c>
      <c r="B293" s="25">
        <v>5132</v>
      </c>
      <c r="C293" s="193" t="s">
        <v>102</v>
      </c>
      <c r="D293" s="24">
        <v>0</v>
      </c>
      <c r="E293" s="173">
        <v>45</v>
      </c>
      <c r="F293" s="24">
        <v>45492</v>
      </c>
      <c r="G293" s="222">
        <v>45492</v>
      </c>
      <c r="H293" s="215">
        <v>0</v>
      </c>
      <c r="I293" s="174"/>
      <c r="J293" s="13"/>
      <c r="K293" s="5"/>
      <c r="L293" s="5"/>
      <c r="M293" s="5"/>
    </row>
    <row r="294" spans="1:13" s="3" customFormat="1" x14ac:dyDescent="0.2">
      <c r="A294" s="22">
        <v>5512</v>
      </c>
      <c r="B294" s="25">
        <v>5137</v>
      </c>
      <c r="C294" s="193" t="s">
        <v>62</v>
      </c>
      <c r="D294" s="24">
        <v>40</v>
      </c>
      <c r="E294" s="173">
        <v>40</v>
      </c>
      <c r="F294" s="24">
        <v>0</v>
      </c>
      <c r="G294" s="222">
        <v>40000</v>
      </c>
      <c r="H294" s="215">
        <v>40</v>
      </c>
      <c r="I294" s="174"/>
      <c r="J294" s="13"/>
      <c r="K294" s="5"/>
      <c r="L294" s="5"/>
      <c r="M294" s="5"/>
    </row>
    <row r="295" spans="1:13" s="3" customFormat="1" x14ac:dyDescent="0.2">
      <c r="A295" s="22">
        <v>5512</v>
      </c>
      <c r="B295" s="25">
        <v>5137</v>
      </c>
      <c r="C295" s="193" t="s">
        <v>146</v>
      </c>
      <c r="D295" s="24">
        <v>0</v>
      </c>
      <c r="E295" s="173">
        <v>10</v>
      </c>
      <c r="F295" s="24">
        <v>0</v>
      </c>
      <c r="G295" s="222">
        <v>10000</v>
      </c>
      <c r="H295" s="215">
        <v>0</v>
      </c>
      <c r="I295" s="174"/>
      <c r="J295" s="13"/>
      <c r="K295" s="5"/>
      <c r="L295" s="5"/>
      <c r="M295" s="5"/>
    </row>
    <row r="296" spans="1:13" s="3" customFormat="1" x14ac:dyDescent="0.2">
      <c r="A296" s="22">
        <v>5512</v>
      </c>
      <c r="B296" s="25">
        <v>5139</v>
      </c>
      <c r="C296" s="193" t="s">
        <v>63</v>
      </c>
      <c r="D296" s="24">
        <v>65</v>
      </c>
      <c r="E296" s="173">
        <v>65</v>
      </c>
      <c r="F296" s="24">
        <v>24452</v>
      </c>
      <c r="G296" s="222">
        <v>24212</v>
      </c>
      <c r="H296" s="215">
        <v>65</v>
      </c>
      <c r="I296" s="174"/>
      <c r="J296" s="13"/>
      <c r="K296" s="5"/>
      <c r="L296" s="5"/>
      <c r="M296" s="5"/>
    </row>
    <row r="297" spans="1:13" s="3" customFormat="1" x14ac:dyDescent="0.2">
      <c r="A297" s="22">
        <v>5512</v>
      </c>
      <c r="B297" s="25">
        <v>5151</v>
      </c>
      <c r="C297" s="193" t="s">
        <v>15</v>
      </c>
      <c r="D297" s="24">
        <v>10</v>
      </c>
      <c r="E297" s="173">
        <v>10</v>
      </c>
      <c r="F297" s="24">
        <v>5619</v>
      </c>
      <c r="G297" s="222">
        <v>5619</v>
      </c>
      <c r="H297" s="215">
        <v>10</v>
      </c>
      <c r="I297" s="174"/>
      <c r="J297" s="13"/>
      <c r="K297" s="5"/>
      <c r="L297" s="5"/>
      <c r="M297" s="5"/>
    </row>
    <row r="298" spans="1:13" s="3" customFormat="1" x14ac:dyDescent="0.2">
      <c r="A298" s="22">
        <v>5512</v>
      </c>
      <c r="B298" s="25">
        <v>5153</v>
      </c>
      <c r="C298" s="193" t="s">
        <v>16</v>
      </c>
      <c r="D298" s="24">
        <v>115</v>
      </c>
      <c r="E298" s="173">
        <v>115</v>
      </c>
      <c r="F298" s="24">
        <v>71909</v>
      </c>
      <c r="G298" s="222">
        <f>71909+20000</f>
        <v>91909</v>
      </c>
      <c r="H298" s="215">
        <v>115</v>
      </c>
      <c r="I298" s="174"/>
      <c r="J298" s="13"/>
      <c r="K298" s="13"/>
      <c r="L298" s="5"/>
      <c r="M298" s="5"/>
    </row>
    <row r="299" spans="1:13" s="3" customFormat="1" x14ac:dyDescent="0.2">
      <c r="A299" s="22">
        <v>5512</v>
      </c>
      <c r="B299" s="25">
        <v>5154</v>
      </c>
      <c r="C299" s="193" t="s">
        <v>17</v>
      </c>
      <c r="D299" s="24">
        <v>40</v>
      </c>
      <c r="E299" s="173">
        <v>40</v>
      </c>
      <c r="F299" s="24">
        <v>23430</v>
      </c>
      <c r="G299" s="222">
        <v>40000</v>
      </c>
      <c r="H299" s="215">
        <v>40</v>
      </c>
      <c r="I299" s="174"/>
      <c r="J299" s="13"/>
      <c r="K299" s="5"/>
      <c r="L299" s="5"/>
      <c r="M299" s="5"/>
    </row>
    <row r="300" spans="1:13" s="3" customFormat="1" x14ac:dyDescent="0.2">
      <c r="A300" s="22">
        <v>5512</v>
      </c>
      <c r="B300" s="25">
        <v>5156</v>
      </c>
      <c r="C300" s="193" t="s">
        <v>64</v>
      </c>
      <c r="D300" s="24">
        <v>80</v>
      </c>
      <c r="E300" s="173">
        <v>80</v>
      </c>
      <c r="F300" s="24">
        <v>42358.82</v>
      </c>
      <c r="G300" s="222">
        <v>42358.82</v>
      </c>
      <c r="H300" s="215">
        <v>80</v>
      </c>
      <c r="I300" s="174"/>
      <c r="J300" s="13"/>
      <c r="K300" s="5"/>
      <c r="L300" s="5"/>
      <c r="M300" s="5"/>
    </row>
    <row r="301" spans="1:13" s="3" customFormat="1" x14ac:dyDescent="0.2">
      <c r="A301" s="22">
        <v>5512</v>
      </c>
      <c r="B301" s="25">
        <v>5156</v>
      </c>
      <c r="C301" s="193" t="s">
        <v>103</v>
      </c>
      <c r="D301" s="24">
        <v>0</v>
      </c>
      <c r="E301" s="173">
        <v>30</v>
      </c>
      <c r="F301" s="24">
        <v>26743.14</v>
      </c>
      <c r="G301" s="222">
        <v>30000</v>
      </c>
      <c r="H301" s="215">
        <v>0</v>
      </c>
      <c r="I301" s="174"/>
      <c r="J301" s="13"/>
      <c r="K301" s="5"/>
      <c r="L301" s="5"/>
      <c r="M301" s="5"/>
    </row>
    <row r="302" spans="1:13" s="3" customFormat="1" x14ac:dyDescent="0.2">
      <c r="A302" s="22">
        <v>5512</v>
      </c>
      <c r="B302" s="25">
        <v>5162</v>
      </c>
      <c r="C302" s="193" t="s">
        <v>218</v>
      </c>
      <c r="D302" s="24">
        <v>14</v>
      </c>
      <c r="E302" s="173">
        <v>14</v>
      </c>
      <c r="F302" s="24">
        <v>9644.69</v>
      </c>
      <c r="G302" s="222">
        <v>10500</v>
      </c>
      <c r="H302" s="215">
        <v>14</v>
      </c>
      <c r="I302" s="174"/>
      <c r="J302" s="13"/>
      <c r="K302" s="5"/>
      <c r="L302" s="5"/>
      <c r="M302" s="5"/>
    </row>
    <row r="303" spans="1:13" s="3" customFormat="1" x14ac:dyDescent="0.2">
      <c r="A303" s="22">
        <v>5512</v>
      </c>
      <c r="B303" s="25">
        <v>5167</v>
      </c>
      <c r="C303" s="193" t="s">
        <v>87</v>
      </c>
      <c r="D303" s="24">
        <v>20</v>
      </c>
      <c r="E303" s="173">
        <v>20</v>
      </c>
      <c r="F303" s="24">
        <v>7100</v>
      </c>
      <c r="G303" s="222">
        <v>7100</v>
      </c>
      <c r="H303" s="215">
        <v>20</v>
      </c>
      <c r="I303" s="174"/>
      <c r="J303" s="13"/>
      <c r="K303" s="5"/>
      <c r="L303" s="5"/>
      <c r="M303" s="5"/>
    </row>
    <row r="304" spans="1:13" s="3" customFormat="1" ht="30" x14ac:dyDescent="0.2">
      <c r="A304" s="22">
        <v>5512</v>
      </c>
      <c r="B304" s="25">
        <v>5168</v>
      </c>
      <c r="C304" s="193" t="s">
        <v>148</v>
      </c>
      <c r="D304" s="24">
        <v>6</v>
      </c>
      <c r="E304" s="173">
        <v>6</v>
      </c>
      <c r="F304" s="24">
        <v>3993</v>
      </c>
      <c r="G304" s="222">
        <v>3630</v>
      </c>
      <c r="H304" s="215">
        <v>6</v>
      </c>
      <c r="I304" s="174"/>
      <c r="J304" s="13"/>
      <c r="K304" s="5"/>
      <c r="L304" s="5"/>
      <c r="M304" s="5"/>
    </row>
    <row r="305" spans="1:13" s="3" customFormat="1" x14ac:dyDescent="0.2">
      <c r="A305" s="22">
        <v>5512</v>
      </c>
      <c r="B305" s="25">
        <v>5169</v>
      </c>
      <c r="C305" s="193" t="s">
        <v>181</v>
      </c>
      <c r="D305" s="24">
        <v>50</v>
      </c>
      <c r="E305" s="173">
        <v>50</v>
      </c>
      <c r="F305" s="24">
        <v>10520</v>
      </c>
      <c r="G305" s="222">
        <v>10520</v>
      </c>
      <c r="H305" s="215">
        <v>50</v>
      </c>
      <c r="I305" s="174"/>
      <c r="J305" s="13"/>
      <c r="K305" s="5"/>
      <c r="L305" s="5"/>
      <c r="M305" s="5"/>
    </row>
    <row r="306" spans="1:13" s="3" customFormat="1" x14ac:dyDescent="0.2">
      <c r="A306" s="22">
        <v>5512</v>
      </c>
      <c r="B306" s="25">
        <v>5169</v>
      </c>
      <c r="C306" s="193" t="s">
        <v>134</v>
      </c>
      <c r="D306" s="24">
        <v>0</v>
      </c>
      <c r="E306" s="173">
        <v>25</v>
      </c>
      <c r="F306" s="24">
        <v>22215.73</v>
      </c>
      <c r="G306" s="222">
        <v>22215.73</v>
      </c>
      <c r="H306" s="215">
        <v>0</v>
      </c>
      <c r="I306" s="174"/>
      <c r="J306" s="13"/>
      <c r="K306" s="5"/>
      <c r="L306" s="5"/>
      <c r="M306" s="5"/>
    </row>
    <row r="307" spans="1:13" s="3" customFormat="1" x14ac:dyDescent="0.2">
      <c r="A307" s="22">
        <v>5512</v>
      </c>
      <c r="B307" s="25">
        <v>5171</v>
      </c>
      <c r="C307" s="193" t="s">
        <v>185</v>
      </c>
      <c r="D307" s="24">
        <v>0</v>
      </c>
      <c r="E307" s="173">
        <v>300</v>
      </c>
      <c r="F307" s="24">
        <v>47873</v>
      </c>
      <c r="G307" s="222">
        <v>47873</v>
      </c>
      <c r="H307" s="215">
        <v>0</v>
      </c>
      <c r="I307" s="174"/>
      <c r="J307" s="13"/>
      <c r="K307" s="5"/>
      <c r="L307" s="5"/>
      <c r="M307" s="5"/>
    </row>
    <row r="308" spans="1:13" s="3" customFormat="1" x14ac:dyDescent="0.2">
      <c r="A308" s="22">
        <v>5512</v>
      </c>
      <c r="B308" s="25">
        <v>5171</v>
      </c>
      <c r="C308" s="193" t="s">
        <v>164</v>
      </c>
      <c r="D308" s="24">
        <v>80</v>
      </c>
      <c r="E308" s="173">
        <v>80</v>
      </c>
      <c r="F308" s="24">
        <v>27328</v>
      </c>
      <c r="G308" s="222">
        <v>27328</v>
      </c>
      <c r="H308" s="215">
        <v>80</v>
      </c>
      <c r="I308" s="174"/>
      <c r="J308" s="13"/>
      <c r="K308" s="5"/>
      <c r="L308" s="5"/>
      <c r="M308" s="5"/>
    </row>
    <row r="309" spans="1:13" s="3" customFormat="1" x14ac:dyDescent="0.2">
      <c r="A309" s="22">
        <v>5512</v>
      </c>
      <c r="B309" s="25">
        <v>5194</v>
      </c>
      <c r="C309" s="193" t="s">
        <v>225</v>
      </c>
      <c r="D309" s="24">
        <v>0</v>
      </c>
      <c r="E309" s="173">
        <v>0</v>
      </c>
      <c r="F309" s="24">
        <v>6776</v>
      </c>
      <c r="G309" s="222">
        <v>6776</v>
      </c>
      <c r="H309" s="215">
        <v>0</v>
      </c>
      <c r="I309" s="174"/>
      <c r="J309" s="13"/>
      <c r="K309" s="5"/>
      <c r="L309" s="5"/>
      <c r="M309" s="5"/>
    </row>
    <row r="310" spans="1:13" s="3" customFormat="1" ht="45" x14ac:dyDescent="0.2">
      <c r="A310" s="22">
        <v>5512</v>
      </c>
      <c r="B310" s="25">
        <v>6121</v>
      </c>
      <c r="C310" s="193" t="s">
        <v>233</v>
      </c>
      <c r="D310" s="24">
        <v>2500</v>
      </c>
      <c r="E310" s="173">
        <f>2500-2300</f>
        <v>200</v>
      </c>
      <c r="F310" s="24">
        <v>0</v>
      </c>
      <c r="G310" s="222">
        <v>0</v>
      </c>
      <c r="H310" s="215">
        <v>0</v>
      </c>
      <c r="I310" s="174"/>
      <c r="J310" s="13"/>
      <c r="K310" s="5"/>
      <c r="L310" s="5"/>
      <c r="M310" s="5"/>
    </row>
    <row r="311" spans="1:13" s="3" customFormat="1" ht="45" x14ac:dyDescent="0.2">
      <c r="A311" s="22">
        <v>5512</v>
      </c>
      <c r="B311" s="25">
        <v>6121</v>
      </c>
      <c r="C311" s="193" t="s">
        <v>330</v>
      </c>
      <c r="D311" s="24">
        <v>0</v>
      </c>
      <c r="E311" s="173">
        <v>2441.9</v>
      </c>
      <c r="F311" s="24">
        <f>4235+24200+498293.95+730090.41+303554.64+344338.81+448794.69+3388+10285</f>
        <v>2367180.5</v>
      </c>
      <c r="G311" s="222">
        <f>4235+24200+498293.95+730090.41+303554.64+344338.81+448794.69+3388+10285</f>
        <v>2367180.5</v>
      </c>
      <c r="H311" s="215">
        <v>0</v>
      </c>
      <c r="I311" s="174"/>
      <c r="J311" s="13"/>
      <c r="K311" s="5"/>
      <c r="L311" s="5"/>
      <c r="M311" s="5"/>
    </row>
    <row r="312" spans="1:13" s="3" customFormat="1" ht="30" x14ac:dyDescent="0.2">
      <c r="A312" s="22">
        <v>5512</v>
      </c>
      <c r="B312" s="25">
        <v>6121</v>
      </c>
      <c r="C312" s="193" t="s">
        <v>331</v>
      </c>
      <c r="D312" s="24"/>
      <c r="E312" s="173"/>
      <c r="F312" s="24"/>
      <c r="G312" s="222"/>
      <c r="H312" s="215">
        <v>200</v>
      </c>
      <c r="I312" s="174"/>
      <c r="J312" s="13"/>
      <c r="K312" s="5"/>
      <c r="L312" s="5"/>
      <c r="M312" s="5"/>
    </row>
    <row r="313" spans="1:13" s="3" customFormat="1" ht="15.75" x14ac:dyDescent="0.25">
      <c r="A313" s="65">
        <v>5512</v>
      </c>
      <c r="B313" s="66"/>
      <c r="C313" s="195" t="s">
        <v>165</v>
      </c>
      <c r="D313" s="64">
        <f>SUM(D292:D312)</f>
        <v>3065</v>
      </c>
      <c r="E313" s="64">
        <f t="shared" ref="E313:H313" si="9">SUM(E292:E312)</f>
        <v>3626.9</v>
      </c>
      <c r="F313" s="64">
        <f t="shared" si="9"/>
        <v>2798503.88</v>
      </c>
      <c r="G313" s="234">
        <f t="shared" si="9"/>
        <v>2888583.05</v>
      </c>
      <c r="H313" s="219">
        <f t="shared" si="9"/>
        <v>765</v>
      </c>
      <c r="I313" s="243">
        <f>H313</f>
        <v>765</v>
      </c>
      <c r="J313" s="13"/>
      <c r="K313" s="5"/>
      <c r="L313" s="5"/>
      <c r="M313" s="5"/>
    </row>
    <row r="314" spans="1:13" s="3" customFormat="1" ht="15.75" x14ac:dyDescent="0.25">
      <c r="A314" s="65"/>
      <c r="B314" s="66"/>
      <c r="C314" s="193"/>
      <c r="D314" s="24"/>
      <c r="E314" s="173"/>
      <c r="F314" s="24"/>
      <c r="G314" s="238"/>
      <c r="H314" s="215"/>
      <c r="I314" s="174"/>
      <c r="J314" s="13"/>
      <c r="K314" s="5"/>
      <c r="L314" s="5"/>
      <c r="M314" s="5"/>
    </row>
    <row r="315" spans="1:13" s="3" customFormat="1" x14ac:dyDescent="0.2">
      <c r="A315" s="22">
        <v>6112</v>
      </c>
      <c r="B315" s="170">
        <v>5023</v>
      </c>
      <c r="C315" s="193" t="s">
        <v>105</v>
      </c>
      <c r="D315" s="24">
        <v>2595</v>
      </c>
      <c r="E315" s="173">
        <f>2595-38</f>
        <v>2557</v>
      </c>
      <c r="F315" s="24">
        <v>1922932</v>
      </c>
      <c r="G315" s="222">
        <v>2557000</v>
      </c>
      <c r="H315" s="215">
        <v>2790</v>
      </c>
      <c r="I315" s="174"/>
      <c r="J315" s="13"/>
      <c r="K315" s="5"/>
      <c r="L315" s="5"/>
      <c r="M315" s="5"/>
    </row>
    <row r="316" spans="1:13" x14ac:dyDescent="0.2">
      <c r="A316" s="181">
        <v>6112</v>
      </c>
      <c r="B316" s="182">
        <v>5024</v>
      </c>
      <c r="C316" s="190" t="s">
        <v>207</v>
      </c>
      <c r="D316" s="24">
        <v>185</v>
      </c>
      <c r="E316" s="202">
        <v>185</v>
      </c>
      <c r="F316" s="24">
        <v>0</v>
      </c>
      <c r="G316" s="222">
        <v>0</v>
      </c>
      <c r="H316" s="215">
        <v>0</v>
      </c>
      <c r="I316" s="174"/>
    </row>
    <row r="317" spans="1:13" x14ac:dyDescent="0.2">
      <c r="A317" s="181">
        <v>6112</v>
      </c>
      <c r="B317" s="182">
        <v>5031</v>
      </c>
      <c r="C317" s="190" t="s">
        <v>47</v>
      </c>
      <c r="D317" s="24">
        <v>723</v>
      </c>
      <c r="E317" s="202">
        <v>723</v>
      </c>
      <c r="F317" s="24">
        <v>424360</v>
      </c>
      <c r="G317" s="222">
        <v>723000</v>
      </c>
      <c r="H317" s="215">
        <v>372</v>
      </c>
      <c r="I317" s="174"/>
    </row>
    <row r="318" spans="1:13" x14ac:dyDescent="0.2">
      <c r="A318" s="181">
        <v>6112</v>
      </c>
      <c r="B318" s="182">
        <v>5032</v>
      </c>
      <c r="C318" s="190" t="s">
        <v>45</v>
      </c>
      <c r="D318" s="24">
        <v>250</v>
      </c>
      <c r="E318" s="202">
        <v>250</v>
      </c>
      <c r="F318" s="24">
        <v>173068</v>
      </c>
      <c r="G318" s="222">
        <v>250000</v>
      </c>
      <c r="H318" s="215">
        <v>252</v>
      </c>
      <c r="I318" s="174"/>
    </row>
    <row r="319" spans="1:13" x14ac:dyDescent="0.2">
      <c r="A319" s="181">
        <v>6112</v>
      </c>
      <c r="B319" s="182">
        <v>5156</v>
      </c>
      <c r="C319" s="190" t="s">
        <v>67</v>
      </c>
      <c r="D319" s="24">
        <v>10.5</v>
      </c>
      <c r="E319" s="202">
        <v>10.5</v>
      </c>
      <c r="F319" s="24">
        <v>9139.9500000000007</v>
      </c>
      <c r="G319" s="222">
        <v>10500</v>
      </c>
      <c r="H319" s="215">
        <v>11.5</v>
      </c>
      <c r="I319" s="174"/>
    </row>
    <row r="320" spans="1:13" x14ac:dyDescent="0.2">
      <c r="A320" s="181">
        <v>6112</v>
      </c>
      <c r="B320" s="182">
        <v>5168</v>
      </c>
      <c r="C320" s="190" t="s">
        <v>116</v>
      </c>
      <c r="D320" s="24">
        <v>40</v>
      </c>
      <c r="E320" s="202">
        <v>40</v>
      </c>
      <c r="F320" s="24">
        <v>22280</v>
      </c>
      <c r="G320" s="222">
        <f>19780+2500+2500+2500</f>
        <v>27280</v>
      </c>
      <c r="H320" s="216">
        <v>40</v>
      </c>
      <c r="I320" s="174"/>
    </row>
    <row r="321" spans="1:13" x14ac:dyDescent="0.2">
      <c r="A321" s="181">
        <v>6112</v>
      </c>
      <c r="B321" s="182">
        <v>5169</v>
      </c>
      <c r="C321" s="190" t="s">
        <v>51</v>
      </c>
      <c r="D321" s="24">
        <v>8</v>
      </c>
      <c r="E321" s="202">
        <v>8</v>
      </c>
      <c r="F321" s="24">
        <v>3480</v>
      </c>
      <c r="G321" s="222">
        <v>3480</v>
      </c>
      <c r="H321" s="216">
        <v>8</v>
      </c>
      <c r="I321" s="174"/>
    </row>
    <row r="322" spans="1:13" x14ac:dyDescent="0.2">
      <c r="A322" s="181">
        <v>6112</v>
      </c>
      <c r="B322" s="182">
        <v>5173</v>
      </c>
      <c r="C322" s="190" t="s">
        <v>29</v>
      </c>
      <c r="D322" s="24">
        <v>8</v>
      </c>
      <c r="E322" s="202">
        <v>8</v>
      </c>
      <c r="F322" s="24">
        <v>3373</v>
      </c>
      <c r="G322" s="222">
        <v>3101</v>
      </c>
      <c r="H322" s="216">
        <v>8</v>
      </c>
      <c r="I322" s="174"/>
    </row>
    <row r="323" spans="1:13" x14ac:dyDescent="0.2">
      <c r="A323" s="181">
        <v>6112</v>
      </c>
      <c r="B323" s="182">
        <v>5175</v>
      </c>
      <c r="C323" s="190" t="s">
        <v>20</v>
      </c>
      <c r="D323" s="24">
        <v>16</v>
      </c>
      <c r="E323" s="202">
        <v>16</v>
      </c>
      <c r="F323" s="24">
        <v>13719</v>
      </c>
      <c r="G323" s="222">
        <v>13719</v>
      </c>
      <c r="H323" s="216">
        <v>18</v>
      </c>
      <c r="I323" s="174"/>
    </row>
    <row r="324" spans="1:13" x14ac:dyDescent="0.2">
      <c r="A324" s="181">
        <v>6112</v>
      </c>
      <c r="B324" s="182">
        <v>5192</v>
      </c>
      <c r="C324" s="190" t="s">
        <v>177</v>
      </c>
      <c r="D324" s="24">
        <v>20</v>
      </c>
      <c r="E324" s="202">
        <v>20</v>
      </c>
      <c r="F324" s="24">
        <v>20000</v>
      </c>
      <c r="G324" s="222">
        <v>20000</v>
      </c>
      <c r="H324" s="216">
        <v>20</v>
      </c>
      <c r="I324" s="174"/>
    </row>
    <row r="325" spans="1:13" ht="30" x14ac:dyDescent="0.2">
      <c r="A325" s="181">
        <v>6112</v>
      </c>
      <c r="B325" s="182">
        <v>5222</v>
      </c>
      <c r="C325" s="190" t="s">
        <v>347</v>
      </c>
      <c r="D325" s="24">
        <v>30</v>
      </c>
      <c r="E325" s="202">
        <v>30</v>
      </c>
      <c r="F325" s="24">
        <f>20000+10000</f>
        <v>30000</v>
      </c>
      <c r="G325" s="222">
        <f>20000+10000</f>
        <v>30000</v>
      </c>
      <c r="H325" s="216">
        <v>30</v>
      </c>
      <c r="I325" s="174"/>
    </row>
    <row r="326" spans="1:13" x14ac:dyDescent="0.2">
      <c r="A326" s="181">
        <v>6112</v>
      </c>
      <c r="B326" s="182">
        <v>5362</v>
      </c>
      <c r="C326" s="190" t="s">
        <v>166</v>
      </c>
      <c r="D326" s="24">
        <v>1.5</v>
      </c>
      <c r="E326" s="202">
        <v>1.5</v>
      </c>
      <c r="F326" s="24">
        <v>1500</v>
      </c>
      <c r="G326" s="222">
        <v>1500</v>
      </c>
      <c r="H326" s="215">
        <v>1.5</v>
      </c>
      <c r="I326" s="174"/>
    </row>
    <row r="327" spans="1:13" x14ac:dyDescent="0.2">
      <c r="A327" s="181">
        <v>6112</v>
      </c>
      <c r="B327" s="182">
        <v>5424</v>
      </c>
      <c r="C327" s="190" t="s">
        <v>94</v>
      </c>
      <c r="D327" s="24">
        <v>10</v>
      </c>
      <c r="E327" s="202">
        <v>10</v>
      </c>
      <c r="F327" s="24">
        <v>0</v>
      </c>
      <c r="G327" s="222">
        <v>0</v>
      </c>
      <c r="H327" s="215">
        <v>10</v>
      </c>
      <c r="I327" s="174"/>
    </row>
    <row r="328" spans="1:13" x14ac:dyDescent="0.2">
      <c r="A328" s="181">
        <v>6112</v>
      </c>
      <c r="B328" s="182">
        <v>5492</v>
      </c>
      <c r="C328" s="190" t="s">
        <v>208</v>
      </c>
      <c r="D328" s="24">
        <v>50</v>
      </c>
      <c r="E328" s="202">
        <f>50+38+72+15</f>
        <v>175</v>
      </c>
      <c r="F328" s="24">
        <v>113500</v>
      </c>
      <c r="G328" s="222">
        <f>113500+48000</f>
        <v>161500</v>
      </c>
      <c r="H328" s="215">
        <f>50+38</f>
        <v>88</v>
      </c>
      <c r="I328" s="174"/>
    </row>
    <row r="329" spans="1:13" x14ac:dyDescent="0.2">
      <c r="A329" s="181">
        <v>6112</v>
      </c>
      <c r="B329" s="182">
        <v>5499</v>
      </c>
      <c r="C329" s="190" t="s">
        <v>35</v>
      </c>
      <c r="D329" s="24">
        <v>24</v>
      </c>
      <c r="E329" s="202">
        <v>24</v>
      </c>
      <c r="F329" s="24">
        <v>22000</v>
      </c>
      <c r="G329" s="222">
        <v>24000</v>
      </c>
      <c r="H329" s="215">
        <v>34</v>
      </c>
      <c r="I329" s="174"/>
    </row>
    <row r="330" spans="1:13" ht="15.75" x14ac:dyDescent="0.25">
      <c r="A330" s="65">
        <v>6112</v>
      </c>
      <c r="B330" s="66"/>
      <c r="C330" s="192" t="s">
        <v>36</v>
      </c>
      <c r="D330" s="68">
        <f>SUM(D315:D329)</f>
        <v>3971</v>
      </c>
      <c r="E330" s="203">
        <f>SUM(E315:E329)</f>
        <v>4058</v>
      </c>
      <c r="F330" s="64">
        <f>SUM(F315:F329)</f>
        <v>2759351.95</v>
      </c>
      <c r="G330" s="234">
        <f>SUM(G315:G329)</f>
        <v>3825080</v>
      </c>
      <c r="H330" s="219">
        <f>SUM(H315:H329)</f>
        <v>3683</v>
      </c>
      <c r="I330" s="243">
        <f>H330</f>
        <v>3683</v>
      </c>
    </row>
    <row r="331" spans="1:13" ht="15.75" x14ac:dyDescent="0.25">
      <c r="A331" s="65"/>
      <c r="B331" s="66"/>
      <c r="C331" s="192"/>
      <c r="D331" s="68"/>
      <c r="E331" s="203"/>
      <c r="F331" s="64"/>
      <c r="G331" s="234"/>
      <c r="H331" s="215"/>
      <c r="I331" s="174"/>
    </row>
    <row r="332" spans="1:13" ht="15.75" x14ac:dyDescent="0.25">
      <c r="A332" s="65">
        <v>6115</v>
      </c>
      <c r="B332" s="66"/>
      <c r="C332" s="192" t="s">
        <v>264</v>
      </c>
      <c r="D332" s="68">
        <v>0</v>
      </c>
      <c r="E332" s="68">
        <v>346</v>
      </c>
      <c r="F332" s="68">
        <v>282097.24</v>
      </c>
      <c r="G332" s="238">
        <v>282097.24</v>
      </c>
      <c r="H332" s="245">
        <v>0</v>
      </c>
      <c r="I332" s="243">
        <f>H332</f>
        <v>0</v>
      </c>
    </row>
    <row r="333" spans="1:13" ht="15.75" x14ac:dyDescent="0.25">
      <c r="A333" s="65"/>
      <c r="B333" s="66"/>
      <c r="C333" s="192"/>
      <c r="D333" s="68"/>
      <c r="E333" s="203"/>
      <c r="F333" s="64"/>
      <c r="G333" s="236"/>
      <c r="H333" s="215"/>
      <c r="I333" s="174"/>
    </row>
    <row r="334" spans="1:13" s="12" customFormat="1" ht="15.75" x14ac:dyDescent="0.25">
      <c r="A334" s="70">
        <v>6118</v>
      </c>
      <c r="B334" s="171"/>
      <c r="C334" s="195" t="s">
        <v>190</v>
      </c>
      <c r="D334" s="64">
        <v>0</v>
      </c>
      <c r="E334" s="64">
        <v>211</v>
      </c>
      <c r="F334" s="64">
        <v>169437.74</v>
      </c>
      <c r="G334" s="234">
        <v>169437.74</v>
      </c>
      <c r="H334" s="219">
        <v>0</v>
      </c>
      <c r="I334" s="243">
        <f>H334</f>
        <v>0</v>
      </c>
      <c r="J334" s="13"/>
      <c r="K334" s="13"/>
      <c r="L334" s="13"/>
      <c r="M334" s="13"/>
    </row>
    <row r="335" spans="1:13" s="12" customFormat="1" x14ac:dyDescent="0.2">
      <c r="A335" s="22"/>
      <c r="B335" s="170"/>
      <c r="C335" s="193"/>
      <c r="D335" s="24"/>
      <c r="E335" s="173"/>
      <c r="F335" s="24"/>
      <c r="G335" s="235"/>
      <c r="H335" s="215"/>
      <c r="I335" s="174"/>
      <c r="J335" s="13"/>
      <c r="K335" s="13"/>
      <c r="L335" s="13"/>
      <c r="M335" s="13"/>
    </row>
    <row r="336" spans="1:13" s="3" customFormat="1" x14ac:dyDescent="0.2">
      <c r="A336" s="22">
        <v>6171</v>
      </c>
      <c r="B336" s="170">
        <v>5011</v>
      </c>
      <c r="C336" s="193" t="s">
        <v>21</v>
      </c>
      <c r="D336" s="24">
        <v>5586</v>
      </c>
      <c r="E336" s="173">
        <f>5586+240.3</f>
        <v>5826.3</v>
      </c>
      <c r="F336" s="24">
        <v>4451984</v>
      </c>
      <c r="G336" s="222">
        <v>5826000</v>
      </c>
      <c r="H336" s="215">
        <v>6400</v>
      </c>
      <c r="I336" s="174"/>
      <c r="J336" s="13"/>
      <c r="K336" s="5"/>
      <c r="L336" s="5"/>
      <c r="M336" s="5"/>
    </row>
    <row r="337" spans="1:13" s="3" customFormat="1" x14ac:dyDescent="0.2">
      <c r="A337" s="181">
        <v>6171</v>
      </c>
      <c r="B337" s="182">
        <v>5021</v>
      </c>
      <c r="C337" s="190" t="s">
        <v>24</v>
      </c>
      <c r="D337" s="24">
        <v>453</v>
      </c>
      <c r="E337" s="202">
        <v>453</v>
      </c>
      <c r="F337" s="24">
        <v>357352</v>
      </c>
      <c r="G337" s="222">
        <v>453000</v>
      </c>
      <c r="H337" s="215">
        <v>453</v>
      </c>
      <c r="I337" s="174"/>
      <c r="J337" s="13"/>
      <c r="K337" s="5"/>
      <c r="L337" s="5"/>
      <c r="M337" s="5"/>
    </row>
    <row r="338" spans="1:13" s="3" customFormat="1" x14ac:dyDescent="0.2">
      <c r="A338" s="181">
        <v>6171</v>
      </c>
      <c r="B338" s="182">
        <v>5031</v>
      </c>
      <c r="C338" s="190" t="s">
        <v>47</v>
      </c>
      <c r="D338" s="24">
        <v>1510</v>
      </c>
      <c r="E338" s="202">
        <f>1510+62.5</f>
        <v>1572.5</v>
      </c>
      <c r="F338" s="24">
        <v>1193580</v>
      </c>
      <c r="G338" s="222">
        <v>1572000</v>
      </c>
      <c r="H338" s="215">
        <v>1691</v>
      </c>
      <c r="I338" s="174"/>
      <c r="J338" s="13"/>
      <c r="K338" s="5"/>
      <c r="L338" s="5"/>
      <c r="M338" s="5"/>
    </row>
    <row r="339" spans="1:13" s="3" customFormat="1" x14ac:dyDescent="0.2">
      <c r="A339" s="181">
        <v>6171</v>
      </c>
      <c r="B339" s="182">
        <v>5032</v>
      </c>
      <c r="C339" s="190" t="s">
        <v>45</v>
      </c>
      <c r="D339" s="24">
        <v>528</v>
      </c>
      <c r="E339" s="202">
        <f>528+21.6</f>
        <v>549.6</v>
      </c>
      <c r="F339" s="24">
        <v>429684</v>
      </c>
      <c r="G339" s="222">
        <v>549000</v>
      </c>
      <c r="H339" s="215">
        <v>608</v>
      </c>
      <c r="I339" s="174"/>
      <c r="J339" s="13"/>
      <c r="K339" s="5"/>
      <c r="L339" s="5"/>
      <c r="M339" s="5"/>
    </row>
    <row r="340" spans="1:13" s="3" customFormat="1" x14ac:dyDescent="0.2">
      <c r="A340" s="181">
        <v>6171</v>
      </c>
      <c r="B340" s="182">
        <v>5038</v>
      </c>
      <c r="C340" s="190" t="s">
        <v>59</v>
      </c>
      <c r="D340" s="24">
        <v>41</v>
      </c>
      <c r="E340" s="202">
        <v>41</v>
      </c>
      <c r="F340" s="24">
        <v>37181</v>
      </c>
      <c r="G340" s="222">
        <v>41000</v>
      </c>
      <c r="H340" s="215">
        <v>45</v>
      </c>
      <c r="I340" s="174"/>
      <c r="J340" s="13"/>
      <c r="K340" s="5"/>
      <c r="L340" s="5"/>
      <c r="M340" s="5"/>
    </row>
    <row r="341" spans="1:13" s="3" customFormat="1" x14ac:dyDescent="0.2">
      <c r="A341" s="181">
        <v>6171</v>
      </c>
      <c r="B341" s="182">
        <v>5134</v>
      </c>
      <c r="C341" s="190" t="s">
        <v>66</v>
      </c>
      <c r="D341" s="24">
        <v>31</v>
      </c>
      <c r="E341" s="202">
        <v>31</v>
      </c>
      <c r="F341" s="24">
        <v>0</v>
      </c>
      <c r="G341" s="222">
        <v>0</v>
      </c>
      <c r="H341" s="215">
        <v>30</v>
      </c>
      <c r="I341" s="174"/>
      <c r="J341" s="13"/>
      <c r="K341" s="5"/>
      <c r="L341" s="5"/>
      <c r="M341" s="5"/>
    </row>
    <row r="342" spans="1:13" s="3" customFormat="1" x14ac:dyDescent="0.2">
      <c r="A342" s="181">
        <v>6171</v>
      </c>
      <c r="B342" s="182">
        <v>5136</v>
      </c>
      <c r="C342" s="190" t="s">
        <v>14</v>
      </c>
      <c r="D342" s="24">
        <v>25</v>
      </c>
      <c r="E342" s="202">
        <v>25</v>
      </c>
      <c r="F342" s="24">
        <v>15608</v>
      </c>
      <c r="G342" s="222">
        <v>15608</v>
      </c>
      <c r="H342" s="215">
        <v>25</v>
      </c>
      <c r="I342" s="174"/>
      <c r="J342" s="13"/>
      <c r="K342" s="5"/>
      <c r="L342" s="5"/>
      <c r="M342" s="5"/>
    </row>
    <row r="343" spans="1:13" s="3" customFormat="1" x14ac:dyDescent="0.2">
      <c r="A343" s="181">
        <v>6171</v>
      </c>
      <c r="B343" s="182">
        <v>5137</v>
      </c>
      <c r="C343" s="190" t="s">
        <v>49</v>
      </c>
      <c r="D343" s="24">
        <v>70</v>
      </c>
      <c r="E343" s="202">
        <v>70</v>
      </c>
      <c r="F343" s="24">
        <v>68235</v>
      </c>
      <c r="G343" s="222">
        <v>68235</v>
      </c>
      <c r="H343" s="215">
        <v>80</v>
      </c>
      <c r="I343" s="174"/>
      <c r="J343" s="13"/>
      <c r="K343" s="5"/>
      <c r="L343" s="5"/>
      <c r="M343" s="5"/>
    </row>
    <row r="344" spans="1:13" s="3" customFormat="1" x14ac:dyDescent="0.2">
      <c r="A344" s="181">
        <v>6171</v>
      </c>
      <c r="B344" s="182">
        <v>5139</v>
      </c>
      <c r="C344" s="190" t="s">
        <v>8</v>
      </c>
      <c r="D344" s="24">
        <v>130</v>
      </c>
      <c r="E344" s="202">
        <f>130+30+20</f>
        <v>180</v>
      </c>
      <c r="F344" s="24">
        <v>154074.29</v>
      </c>
      <c r="G344" s="222">
        <v>154074.29</v>
      </c>
      <c r="H344" s="215">
        <v>180</v>
      </c>
      <c r="I344" s="174"/>
      <c r="J344" s="13"/>
      <c r="K344" s="5"/>
      <c r="L344" s="5"/>
      <c r="M344" s="5"/>
    </row>
    <row r="345" spans="1:13" s="3" customFormat="1" x14ac:dyDescent="0.2">
      <c r="A345" s="181">
        <v>6171</v>
      </c>
      <c r="B345" s="182">
        <v>5151</v>
      </c>
      <c r="C345" s="190" t="s">
        <v>15</v>
      </c>
      <c r="D345" s="24">
        <v>45</v>
      </c>
      <c r="E345" s="202">
        <v>45</v>
      </c>
      <c r="F345" s="24">
        <v>33956</v>
      </c>
      <c r="G345" s="222">
        <v>33956</v>
      </c>
      <c r="H345" s="215">
        <v>45</v>
      </c>
      <c r="I345" s="174"/>
      <c r="J345" s="13"/>
      <c r="K345" s="5"/>
      <c r="L345" s="5"/>
      <c r="M345" s="5"/>
    </row>
    <row r="346" spans="1:13" s="3" customFormat="1" x14ac:dyDescent="0.2">
      <c r="A346" s="181">
        <v>6171</v>
      </c>
      <c r="B346" s="182">
        <v>5153</v>
      </c>
      <c r="C346" s="190" t="s">
        <v>16</v>
      </c>
      <c r="D346" s="24">
        <v>260</v>
      </c>
      <c r="E346" s="202">
        <v>260</v>
      </c>
      <c r="F346" s="24">
        <v>157600</v>
      </c>
      <c r="G346" s="222">
        <v>157600</v>
      </c>
      <c r="H346" s="215">
        <v>260</v>
      </c>
      <c r="I346" s="174"/>
      <c r="J346" s="13"/>
      <c r="K346" s="5"/>
      <c r="L346" s="5"/>
      <c r="M346" s="5"/>
    </row>
    <row r="347" spans="1:13" s="3" customFormat="1" x14ac:dyDescent="0.2">
      <c r="A347" s="181">
        <v>6171</v>
      </c>
      <c r="B347" s="182">
        <v>5154</v>
      </c>
      <c r="C347" s="190" t="s">
        <v>17</v>
      </c>
      <c r="D347" s="24">
        <v>160</v>
      </c>
      <c r="E347" s="202">
        <v>160</v>
      </c>
      <c r="F347" s="24">
        <v>86220</v>
      </c>
      <c r="G347" s="222">
        <v>86220</v>
      </c>
      <c r="H347" s="215">
        <v>160</v>
      </c>
      <c r="I347" s="174"/>
      <c r="J347" s="13"/>
      <c r="K347" s="5"/>
      <c r="L347" s="5"/>
      <c r="M347" s="5"/>
    </row>
    <row r="348" spans="1:13" s="3" customFormat="1" x14ac:dyDescent="0.2">
      <c r="A348" s="181">
        <v>6171</v>
      </c>
      <c r="B348" s="182">
        <v>5156</v>
      </c>
      <c r="C348" s="190" t="s">
        <v>28</v>
      </c>
      <c r="D348" s="24">
        <v>10</v>
      </c>
      <c r="E348" s="202">
        <v>10</v>
      </c>
      <c r="F348" s="24">
        <v>8099</v>
      </c>
      <c r="G348" s="222">
        <v>8099</v>
      </c>
      <c r="H348" s="215">
        <v>15</v>
      </c>
      <c r="I348" s="174"/>
      <c r="J348" s="13"/>
      <c r="K348" s="5"/>
      <c r="L348" s="5"/>
      <c r="M348" s="5"/>
    </row>
    <row r="349" spans="1:13" s="3" customFormat="1" x14ac:dyDescent="0.2">
      <c r="A349" s="181">
        <v>6171</v>
      </c>
      <c r="B349" s="182">
        <v>5161</v>
      </c>
      <c r="C349" s="190" t="s">
        <v>100</v>
      </c>
      <c r="D349" s="24">
        <v>70</v>
      </c>
      <c r="E349" s="202">
        <v>70</v>
      </c>
      <c r="F349" s="24">
        <v>51850</v>
      </c>
      <c r="G349" s="222">
        <v>70000</v>
      </c>
      <c r="H349" s="215">
        <v>80</v>
      </c>
      <c r="I349" s="174"/>
      <c r="J349" s="13"/>
      <c r="K349" s="5"/>
      <c r="L349" s="5"/>
      <c r="M349" s="5"/>
    </row>
    <row r="350" spans="1:13" s="3" customFormat="1" x14ac:dyDescent="0.2">
      <c r="A350" s="181">
        <v>6171</v>
      </c>
      <c r="B350" s="182">
        <v>5162</v>
      </c>
      <c r="C350" s="190" t="s">
        <v>218</v>
      </c>
      <c r="D350" s="24">
        <v>220</v>
      </c>
      <c r="E350" s="202">
        <v>220</v>
      </c>
      <c r="F350" s="24">
        <v>176374.26</v>
      </c>
      <c r="G350" s="222">
        <v>195000</v>
      </c>
      <c r="H350" s="215">
        <v>220</v>
      </c>
      <c r="I350" s="174"/>
      <c r="J350" s="13"/>
      <c r="K350" s="5"/>
      <c r="L350" s="5"/>
      <c r="M350" s="5"/>
    </row>
    <row r="351" spans="1:13" s="3" customFormat="1" x14ac:dyDescent="0.2">
      <c r="A351" s="181">
        <v>6171</v>
      </c>
      <c r="B351" s="182">
        <v>5164</v>
      </c>
      <c r="C351" s="190" t="s">
        <v>60</v>
      </c>
      <c r="D351" s="24">
        <v>0.1</v>
      </c>
      <c r="E351" s="202">
        <v>0.1</v>
      </c>
      <c r="F351" s="24">
        <v>1</v>
      </c>
      <c r="G351" s="222">
        <v>1</v>
      </c>
      <c r="H351" s="215">
        <v>1</v>
      </c>
      <c r="I351" s="174"/>
      <c r="J351" s="13"/>
      <c r="K351" s="5"/>
      <c r="L351" s="5"/>
      <c r="M351" s="5"/>
    </row>
    <row r="352" spans="1:13" s="3" customFormat="1" x14ac:dyDescent="0.2">
      <c r="A352" s="181">
        <v>6171</v>
      </c>
      <c r="B352" s="182">
        <v>5166</v>
      </c>
      <c r="C352" s="190" t="s">
        <v>30</v>
      </c>
      <c r="D352" s="24">
        <v>550</v>
      </c>
      <c r="E352" s="202">
        <v>550</v>
      </c>
      <c r="F352" s="24">
        <v>465850</v>
      </c>
      <c r="G352" s="222">
        <v>550000</v>
      </c>
      <c r="H352" s="215">
        <v>650</v>
      </c>
      <c r="I352" s="174"/>
      <c r="J352" s="13"/>
      <c r="K352" s="13"/>
      <c r="L352" s="5"/>
      <c r="M352" s="5"/>
    </row>
    <row r="353" spans="1:13" s="3" customFormat="1" x14ac:dyDescent="0.2">
      <c r="A353" s="181">
        <v>6171</v>
      </c>
      <c r="B353" s="182">
        <v>5167</v>
      </c>
      <c r="C353" s="190" t="s">
        <v>79</v>
      </c>
      <c r="D353" s="24">
        <v>55</v>
      </c>
      <c r="E353" s="202">
        <v>55</v>
      </c>
      <c r="F353" s="24">
        <v>13870</v>
      </c>
      <c r="G353" s="222">
        <v>13870</v>
      </c>
      <c r="H353" s="215">
        <v>40</v>
      </c>
      <c r="I353" s="174"/>
      <c r="J353" s="13"/>
      <c r="K353" s="13"/>
      <c r="L353" s="5"/>
      <c r="M353" s="5"/>
    </row>
    <row r="354" spans="1:13" s="3" customFormat="1" ht="18.75" customHeight="1" x14ac:dyDescent="0.2">
      <c r="A354" s="181">
        <v>6171</v>
      </c>
      <c r="B354" s="182">
        <v>5167</v>
      </c>
      <c r="C354" s="190" t="s">
        <v>254</v>
      </c>
      <c r="D354" s="24">
        <v>0</v>
      </c>
      <c r="E354" s="202">
        <v>24.1</v>
      </c>
      <c r="F354" s="24">
        <v>0</v>
      </c>
      <c r="G354" s="222">
        <v>0</v>
      </c>
      <c r="H354" s="215">
        <v>0</v>
      </c>
      <c r="I354" s="174"/>
      <c r="J354" s="13"/>
      <c r="K354" s="13"/>
      <c r="L354" s="5"/>
      <c r="M354" s="5"/>
    </row>
    <row r="355" spans="1:13" s="3" customFormat="1" x14ac:dyDescent="0.2">
      <c r="A355" s="181">
        <v>6171</v>
      </c>
      <c r="B355" s="182">
        <v>5168</v>
      </c>
      <c r="C355" s="190" t="s">
        <v>116</v>
      </c>
      <c r="D355" s="24">
        <v>420</v>
      </c>
      <c r="E355" s="202">
        <v>420</v>
      </c>
      <c r="F355" s="24">
        <v>265099.8</v>
      </c>
      <c r="G355" s="222">
        <v>265099.8</v>
      </c>
      <c r="H355" s="215">
        <v>420</v>
      </c>
      <c r="I355" s="174"/>
      <c r="J355" s="13"/>
      <c r="K355" s="5"/>
      <c r="L355" s="5"/>
      <c r="M355" s="5"/>
    </row>
    <row r="356" spans="1:13" s="3" customFormat="1" ht="45" x14ac:dyDescent="0.2">
      <c r="A356" s="181">
        <v>6171</v>
      </c>
      <c r="B356" s="182">
        <v>5169</v>
      </c>
      <c r="C356" s="190" t="s">
        <v>373</v>
      </c>
      <c r="D356" s="24">
        <v>700</v>
      </c>
      <c r="E356" s="202">
        <f>700+62+87+20-20</f>
        <v>849</v>
      </c>
      <c r="F356" s="24">
        <v>598178.15</v>
      </c>
      <c r="G356" s="222">
        <v>700000</v>
      </c>
      <c r="H356" s="215">
        <v>900</v>
      </c>
      <c r="I356" s="174"/>
      <c r="J356" s="13"/>
      <c r="K356" s="5"/>
      <c r="L356" s="5"/>
      <c r="M356" s="5"/>
    </row>
    <row r="357" spans="1:13" s="3" customFormat="1" x14ac:dyDescent="0.2">
      <c r="A357" s="181">
        <v>6171</v>
      </c>
      <c r="B357" s="182">
        <v>5169</v>
      </c>
      <c r="C357" s="190" t="s">
        <v>97</v>
      </c>
      <c r="D357" s="24">
        <v>90</v>
      </c>
      <c r="E357" s="202">
        <v>90</v>
      </c>
      <c r="F357" s="24">
        <v>52224</v>
      </c>
      <c r="G357" s="222">
        <v>52224</v>
      </c>
      <c r="H357" s="215">
        <v>101.7</v>
      </c>
      <c r="I357" s="174"/>
      <c r="J357" s="13"/>
      <c r="K357" s="5"/>
      <c r="L357" s="5"/>
      <c r="M357" s="5"/>
    </row>
    <row r="358" spans="1:13" ht="60" x14ac:dyDescent="0.2">
      <c r="A358" s="181">
        <v>6171</v>
      </c>
      <c r="B358" s="182">
        <v>5171</v>
      </c>
      <c r="C358" s="190" t="s">
        <v>383</v>
      </c>
      <c r="D358" s="24">
        <v>100</v>
      </c>
      <c r="E358" s="202">
        <f>100+13.6</f>
        <v>113.6</v>
      </c>
      <c r="F358" s="24">
        <v>114574.99</v>
      </c>
      <c r="G358" s="222">
        <v>114574.99</v>
      </c>
      <c r="H358" s="215">
        <v>300</v>
      </c>
      <c r="I358" s="174"/>
    </row>
    <row r="359" spans="1:13" x14ac:dyDescent="0.2">
      <c r="A359" s="181">
        <v>6171</v>
      </c>
      <c r="B359" s="182">
        <v>5172</v>
      </c>
      <c r="C359" s="190" t="s">
        <v>182</v>
      </c>
      <c r="D359" s="24">
        <v>30</v>
      </c>
      <c r="E359" s="202">
        <v>30</v>
      </c>
      <c r="F359" s="24">
        <v>0</v>
      </c>
      <c r="G359" s="222">
        <v>0</v>
      </c>
      <c r="H359" s="215">
        <v>0</v>
      </c>
      <c r="I359" s="174"/>
    </row>
    <row r="360" spans="1:13" x14ac:dyDescent="0.2">
      <c r="A360" s="181">
        <v>6171</v>
      </c>
      <c r="B360" s="182">
        <v>5173</v>
      </c>
      <c r="C360" s="190" t="s">
        <v>29</v>
      </c>
      <c r="D360" s="24">
        <v>5.9</v>
      </c>
      <c r="E360" s="202">
        <v>5.9</v>
      </c>
      <c r="F360" s="24">
        <v>2188</v>
      </c>
      <c r="G360" s="222">
        <v>2188</v>
      </c>
      <c r="H360" s="215">
        <v>5.5</v>
      </c>
      <c r="I360" s="174"/>
      <c r="L360"/>
      <c r="M360"/>
    </row>
    <row r="361" spans="1:13" x14ac:dyDescent="0.2">
      <c r="A361" s="181">
        <v>6171</v>
      </c>
      <c r="B361" s="182">
        <v>5175</v>
      </c>
      <c r="C361" s="190" t="s">
        <v>20</v>
      </c>
      <c r="D361" s="24">
        <v>4</v>
      </c>
      <c r="E361" s="202">
        <v>4</v>
      </c>
      <c r="F361" s="24">
        <v>0</v>
      </c>
      <c r="G361" s="222">
        <v>0</v>
      </c>
      <c r="H361" s="215">
        <v>4</v>
      </c>
      <c r="I361" s="174"/>
      <c r="L361"/>
      <c r="M361"/>
    </row>
    <row r="362" spans="1:13" x14ac:dyDescent="0.2">
      <c r="A362" s="181">
        <v>6171</v>
      </c>
      <c r="B362" s="182">
        <v>5182</v>
      </c>
      <c r="C362" s="190" t="s">
        <v>167</v>
      </c>
      <c r="D362" s="24">
        <v>0</v>
      </c>
      <c r="E362" s="202">
        <v>0</v>
      </c>
      <c r="F362" s="24">
        <v>46059</v>
      </c>
      <c r="G362" s="222">
        <v>46059</v>
      </c>
      <c r="H362" s="215">
        <v>0</v>
      </c>
      <c r="I362" s="174"/>
      <c r="L362"/>
      <c r="M362"/>
    </row>
    <row r="363" spans="1:13" ht="18" customHeight="1" x14ac:dyDescent="0.2">
      <c r="A363" s="181">
        <v>6171</v>
      </c>
      <c r="B363" s="182">
        <v>5192</v>
      </c>
      <c r="C363" s="190" t="s">
        <v>209</v>
      </c>
      <c r="D363" s="24">
        <v>15</v>
      </c>
      <c r="E363" s="202">
        <v>15</v>
      </c>
      <c r="F363" s="24">
        <v>0</v>
      </c>
      <c r="G363" s="222">
        <v>0</v>
      </c>
      <c r="H363" s="215">
        <v>15</v>
      </c>
      <c r="I363" s="174"/>
      <c r="L363"/>
      <c r="M363"/>
    </row>
    <row r="364" spans="1:13" ht="12.75" customHeight="1" x14ac:dyDescent="0.2">
      <c r="A364" s="181">
        <v>6171</v>
      </c>
      <c r="B364" s="182">
        <v>5362</v>
      </c>
      <c r="C364" s="190" t="s">
        <v>275</v>
      </c>
      <c r="D364" s="24">
        <v>5</v>
      </c>
      <c r="E364" s="202">
        <v>5</v>
      </c>
      <c r="F364" s="24">
        <v>2500</v>
      </c>
      <c r="G364" s="222">
        <v>2500</v>
      </c>
      <c r="H364" s="215">
        <v>5</v>
      </c>
      <c r="I364" s="174"/>
    </row>
    <row r="365" spans="1:13" ht="12.75" customHeight="1" x14ac:dyDescent="0.2">
      <c r="A365" s="181">
        <v>6171</v>
      </c>
      <c r="B365" s="182">
        <v>5365</v>
      </c>
      <c r="C365" s="190" t="s">
        <v>135</v>
      </c>
      <c r="D365" s="24">
        <v>5</v>
      </c>
      <c r="E365" s="202">
        <v>5</v>
      </c>
      <c r="F365" s="24">
        <v>1536</v>
      </c>
      <c r="G365" s="222">
        <v>1536</v>
      </c>
      <c r="H365" s="215">
        <v>5</v>
      </c>
      <c r="I365" s="174"/>
    </row>
    <row r="366" spans="1:13" ht="30.75" customHeight="1" x14ac:dyDescent="0.2">
      <c r="A366" s="181">
        <v>6171</v>
      </c>
      <c r="B366" s="182">
        <v>5365</v>
      </c>
      <c r="C366" s="190" t="s">
        <v>270</v>
      </c>
      <c r="D366" s="24">
        <v>0</v>
      </c>
      <c r="E366" s="202">
        <v>11.3</v>
      </c>
      <c r="F366" s="24">
        <v>11270.33</v>
      </c>
      <c r="G366" s="222">
        <v>11270.33</v>
      </c>
      <c r="H366" s="215">
        <v>0</v>
      </c>
      <c r="I366" s="174"/>
    </row>
    <row r="367" spans="1:13" s="2" customFormat="1" ht="12.75" customHeight="1" x14ac:dyDescent="0.2">
      <c r="A367" s="181">
        <v>6171</v>
      </c>
      <c r="B367" s="182">
        <v>5424</v>
      </c>
      <c r="C367" s="190" t="s">
        <v>75</v>
      </c>
      <c r="D367" s="24">
        <v>20</v>
      </c>
      <c r="E367" s="202">
        <v>20</v>
      </c>
      <c r="F367" s="24">
        <v>22492</v>
      </c>
      <c r="G367" s="222">
        <v>22492</v>
      </c>
      <c r="H367" s="215">
        <v>30</v>
      </c>
      <c r="I367" s="174"/>
      <c r="J367" s="13"/>
    </row>
    <row r="368" spans="1:13" s="2" customFormat="1" x14ac:dyDescent="0.2">
      <c r="A368" s="181">
        <v>6171</v>
      </c>
      <c r="B368" s="182">
        <v>5492</v>
      </c>
      <c r="C368" s="190" t="s">
        <v>57</v>
      </c>
      <c r="D368" s="24">
        <v>20</v>
      </c>
      <c r="E368" s="202">
        <v>20</v>
      </c>
      <c r="F368" s="24">
        <v>0</v>
      </c>
      <c r="G368" s="222">
        <v>0</v>
      </c>
      <c r="H368" s="215">
        <v>20</v>
      </c>
      <c r="I368" s="174"/>
      <c r="J368" s="112"/>
      <c r="K368" s="9"/>
    </row>
    <row r="369" spans="1:13" s="2" customFormat="1" x14ac:dyDescent="0.2">
      <c r="A369" s="181">
        <v>6171</v>
      </c>
      <c r="B369" s="182">
        <v>5499</v>
      </c>
      <c r="C369" s="190" t="s">
        <v>35</v>
      </c>
      <c r="D369" s="24">
        <v>251</v>
      </c>
      <c r="E369" s="202">
        <v>251</v>
      </c>
      <c r="F369" s="24">
        <v>179260</v>
      </c>
      <c r="G369" s="222">
        <v>179260</v>
      </c>
      <c r="H369" s="215">
        <v>233.8</v>
      </c>
      <c r="I369" s="174"/>
      <c r="J369" s="112"/>
      <c r="K369" s="9"/>
    </row>
    <row r="370" spans="1:13" s="2" customFormat="1" ht="30" x14ac:dyDescent="0.2">
      <c r="A370" s="181">
        <v>6171</v>
      </c>
      <c r="B370" s="182">
        <v>6121</v>
      </c>
      <c r="C370" s="190" t="s">
        <v>332</v>
      </c>
      <c r="D370" s="24"/>
      <c r="E370" s="202"/>
      <c r="F370" s="24"/>
      <c r="G370" s="222"/>
      <c r="H370" s="215">
        <v>500</v>
      </c>
      <c r="I370" s="174"/>
      <c r="J370" s="112"/>
      <c r="K370" s="9"/>
    </row>
    <row r="371" spans="1:13" ht="15.75" x14ac:dyDescent="0.25">
      <c r="A371" s="65">
        <v>6171</v>
      </c>
      <c r="B371" s="66"/>
      <c r="C371" s="199" t="s">
        <v>32</v>
      </c>
      <c r="D371" s="68">
        <f>SUM(D336:D370)</f>
        <v>11410</v>
      </c>
      <c r="E371" s="68">
        <f t="shared" ref="E371:G371" si="10">SUM(E336:E370)</f>
        <v>11982.4</v>
      </c>
      <c r="F371" s="68">
        <f t="shared" si="10"/>
        <v>8996900.8200000003</v>
      </c>
      <c r="G371" s="68">
        <f t="shared" si="10"/>
        <v>11190867.41</v>
      </c>
      <c r="H371" s="219">
        <f>SUM(H336:H370)</f>
        <v>13523</v>
      </c>
      <c r="I371" s="243">
        <f>H371</f>
        <v>13523</v>
      </c>
    </row>
    <row r="372" spans="1:13" ht="15.75" x14ac:dyDescent="0.25">
      <c r="A372" s="65"/>
      <c r="B372" s="66"/>
      <c r="C372" s="41"/>
      <c r="D372" s="68"/>
      <c r="E372" s="68"/>
      <c r="F372" s="64"/>
      <c r="G372" s="222"/>
      <c r="H372" s="215"/>
      <c r="I372" s="174"/>
    </row>
    <row r="373" spans="1:13" s="10" customFormat="1" x14ac:dyDescent="0.2">
      <c r="A373" s="22">
        <v>6310</v>
      </c>
      <c r="B373" s="25">
        <v>5163</v>
      </c>
      <c r="C373" s="75" t="s">
        <v>19</v>
      </c>
      <c r="D373" s="24">
        <v>17</v>
      </c>
      <c r="E373" s="24">
        <v>17</v>
      </c>
      <c r="F373" s="24">
        <v>9493.68</v>
      </c>
      <c r="G373" s="222">
        <v>9493.68</v>
      </c>
      <c r="H373" s="215">
        <v>16</v>
      </c>
      <c r="I373" s="174"/>
      <c r="J373" s="13"/>
      <c r="K373" s="8"/>
      <c r="L373" s="8"/>
      <c r="M373" s="8"/>
    </row>
    <row r="374" spans="1:13" s="2" customFormat="1" ht="15.75" x14ac:dyDescent="0.25">
      <c r="A374" s="65">
        <v>6310</v>
      </c>
      <c r="B374" s="66"/>
      <c r="C374" s="41" t="s">
        <v>69</v>
      </c>
      <c r="D374" s="68">
        <f>SUM(D373)</f>
        <v>17</v>
      </c>
      <c r="E374" s="64">
        <f>SUM(E373)</f>
        <v>17</v>
      </c>
      <c r="F374" s="64">
        <f>SUM(F373)</f>
        <v>9493.68</v>
      </c>
      <c r="G374" s="234">
        <f>SUM(G373)</f>
        <v>9493.68</v>
      </c>
      <c r="H374" s="219">
        <f>SUM(H373)</f>
        <v>16</v>
      </c>
      <c r="I374" s="243">
        <f>H374</f>
        <v>16</v>
      </c>
      <c r="J374" s="13"/>
    </row>
    <row r="375" spans="1:13" s="2" customFormat="1" ht="15.75" x14ac:dyDescent="0.25">
      <c r="A375" s="65"/>
      <c r="B375" s="66"/>
      <c r="C375" s="41"/>
      <c r="D375" s="68"/>
      <c r="E375" s="64"/>
      <c r="F375" s="64"/>
      <c r="G375" s="236"/>
      <c r="H375" s="215"/>
      <c r="I375" s="174"/>
      <c r="J375" s="13"/>
    </row>
    <row r="376" spans="1:13" s="2" customFormat="1" x14ac:dyDescent="0.2">
      <c r="A376" s="22">
        <v>6320</v>
      </c>
      <c r="B376" s="25">
        <v>5163</v>
      </c>
      <c r="C376" s="28" t="s">
        <v>68</v>
      </c>
      <c r="D376" s="24">
        <v>330</v>
      </c>
      <c r="E376" s="24">
        <v>330</v>
      </c>
      <c r="F376" s="24">
        <v>292328</v>
      </c>
      <c r="G376" s="222">
        <v>292328</v>
      </c>
      <c r="H376" s="215">
        <v>330</v>
      </c>
      <c r="I376" s="174"/>
      <c r="J376" s="13"/>
    </row>
    <row r="377" spans="1:13" s="2" customFormat="1" ht="15.75" x14ac:dyDescent="0.25">
      <c r="A377" s="65">
        <v>6320</v>
      </c>
      <c r="B377" s="66"/>
      <c r="C377" s="67" t="s">
        <v>33</v>
      </c>
      <c r="D377" s="68">
        <f>SUM(D376)</f>
        <v>330</v>
      </c>
      <c r="E377" s="64">
        <f>SUM(E376)</f>
        <v>330</v>
      </c>
      <c r="F377" s="64">
        <f>SUM(F376)</f>
        <v>292328</v>
      </c>
      <c r="G377" s="234">
        <f>SUM(G376)</f>
        <v>292328</v>
      </c>
      <c r="H377" s="219">
        <f>SUM(H376)</f>
        <v>330</v>
      </c>
      <c r="I377" s="243">
        <f>H377</f>
        <v>330</v>
      </c>
      <c r="J377" s="13"/>
    </row>
    <row r="378" spans="1:13" s="2" customFormat="1" ht="15.75" x14ac:dyDescent="0.25">
      <c r="A378" s="69"/>
      <c r="B378" s="66"/>
      <c r="C378" s="41"/>
      <c r="D378" s="68"/>
      <c r="E378" s="24"/>
      <c r="F378" s="24"/>
      <c r="G378" s="235"/>
      <c r="H378" s="215"/>
      <c r="I378" s="174"/>
      <c r="J378" s="13"/>
    </row>
    <row r="379" spans="1:13" s="8" customFormat="1" x14ac:dyDescent="0.2">
      <c r="A379" s="69">
        <v>6409</v>
      </c>
      <c r="B379" s="73">
        <v>5901</v>
      </c>
      <c r="C379" s="74" t="s">
        <v>52</v>
      </c>
      <c r="D379" s="166">
        <v>500</v>
      </c>
      <c r="E379" s="24">
        <f>500-134-132+3960-449.5-200-81+1300+1680.4+9600+123.8-90-1000-40-87+779-30-40-1500</f>
        <v>14159.699999999999</v>
      </c>
      <c r="F379" s="24">
        <v>0</v>
      </c>
      <c r="G379" s="222">
        <v>0</v>
      </c>
      <c r="H379" s="215">
        <v>1700</v>
      </c>
      <c r="I379" s="174"/>
      <c r="J379" s="13"/>
      <c r="K379" s="2"/>
    </row>
    <row r="380" spans="1:13" s="8" customFormat="1" ht="15.75" x14ac:dyDescent="0.25">
      <c r="A380" s="65">
        <v>6409</v>
      </c>
      <c r="B380" s="66"/>
      <c r="C380" s="67" t="s">
        <v>53</v>
      </c>
      <c r="D380" s="68">
        <f>SUM(D379:D379)</f>
        <v>500</v>
      </c>
      <c r="E380" s="68">
        <f>SUM(E379:E379)</f>
        <v>14159.699999999999</v>
      </c>
      <c r="F380" s="68">
        <f>SUM(F379:F379)</f>
        <v>0</v>
      </c>
      <c r="G380" s="238">
        <f>SUM(G379:G379)</f>
        <v>0</v>
      </c>
      <c r="H380" s="245">
        <f>SUM(H379:H379)</f>
        <v>1700</v>
      </c>
      <c r="I380" s="243">
        <f>H380</f>
        <v>1700</v>
      </c>
      <c r="J380" s="13"/>
      <c r="K380" s="2"/>
    </row>
    <row r="381" spans="1:13" s="8" customFormat="1" ht="15.75" x14ac:dyDescent="0.25">
      <c r="A381" s="69"/>
      <c r="B381" s="66"/>
      <c r="C381" s="41"/>
      <c r="D381" s="68"/>
      <c r="E381" s="24"/>
      <c r="F381" s="24"/>
      <c r="G381" s="235"/>
      <c r="H381" s="215"/>
      <c r="I381" s="174"/>
      <c r="J381" s="13"/>
      <c r="K381" s="2"/>
    </row>
    <row r="382" spans="1:13" s="8" customFormat="1" x14ac:dyDescent="0.2">
      <c r="A382" s="22">
        <v>6330</v>
      </c>
      <c r="B382" s="25">
        <v>5342</v>
      </c>
      <c r="C382" s="28" t="s">
        <v>58</v>
      </c>
      <c r="D382" s="24">
        <f>'Rozpočet 2019 Příjmy '!D37</f>
        <v>300</v>
      </c>
      <c r="E382" s="24">
        <f>'Rozpočet 2019 Příjmy '!E37</f>
        <v>300</v>
      </c>
      <c r="F382" s="24">
        <f>'Rozpočet 2019 Příjmy '!F37</f>
        <v>221163</v>
      </c>
      <c r="G382" s="24">
        <f>'Rozpočet 2019 Příjmy '!G37</f>
        <v>221163</v>
      </c>
      <c r="H382" s="215">
        <f>'Rozpočet 2019 Příjmy '!H37</f>
        <v>300</v>
      </c>
      <c r="I382" s="174"/>
      <c r="J382" s="13"/>
      <c r="K382" s="2"/>
    </row>
    <row r="383" spans="1:13" s="8" customFormat="1" x14ac:dyDescent="0.2">
      <c r="A383" s="22">
        <v>6330</v>
      </c>
      <c r="B383" s="25">
        <v>5345</v>
      </c>
      <c r="C383" s="28" t="s">
        <v>136</v>
      </c>
      <c r="D383" s="24">
        <f>'Rozpočet 2019 Příjmy '!D39</f>
        <v>365</v>
      </c>
      <c r="E383" s="24">
        <f>'Rozpočet 2019 Příjmy '!E39</f>
        <v>365</v>
      </c>
      <c r="F383" s="24">
        <f>'Rozpočet 2019 Příjmy '!F39</f>
        <v>229984</v>
      </c>
      <c r="G383" s="24">
        <f>'Rozpočet 2019 Příjmy '!G39</f>
        <v>229984</v>
      </c>
      <c r="H383" s="215">
        <f>'Rozpočet 2019 Příjmy '!H39</f>
        <v>346.5</v>
      </c>
      <c r="I383" s="174"/>
      <c r="J383" s="2"/>
      <c r="K383" s="2"/>
    </row>
    <row r="384" spans="1:13" s="8" customFormat="1" x14ac:dyDescent="0.2">
      <c r="A384" s="22"/>
      <c r="B384" s="25"/>
      <c r="C384" s="28" t="s">
        <v>137</v>
      </c>
      <c r="D384" s="24">
        <f>'Rozpočet 2019 Příjmy '!D35</f>
        <v>582</v>
      </c>
      <c r="E384" s="24">
        <f>'Rozpočet 2019 Příjmy '!E35</f>
        <v>582</v>
      </c>
      <c r="F384" s="24">
        <f>'Rozpočet 2019 Příjmy '!F35</f>
        <v>232592.92</v>
      </c>
      <c r="G384" s="24">
        <f>'Rozpočet 2019 Příjmy '!G35</f>
        <v>232592.92</v>
      </c>
      <c r="H384" s="215">
        <f>'Rozpočet 2019 Příjmy '!H35</f>
        <v>1122</v>
      </c>
      <c r="I384" s="174"/>
      <c r="J384" s="13"/>
      <c r="K384" s="2"/>
    </row>
    <row r="385" spans="1:11" s="8" customFormat="1" ht="30" x14ac:dyDescent="0.2">
      <c r="A385" s="22">
        <v>6330</v>
      </c>
      <c r="B385" s="25">
        <v>5347</v>
      </c>
      <c r="C385" s="28" t="s">
        <v>219</v>
      </c>
      <c r="D385" s="24">
        <v>0</v>
      </c>
      <c r="E385" s="24">
        <f>58.4+45.8</f>
        <v>104.19999999999999</v>
      </c>
      <c r="F385" s="24">
        <f>5799.6+52632.86+7060+38700.3</f>
        <v>104192.76000000001</v>
      </c>
      <c r="G385" s="222">
        <f>5799.6+52632.86+7060+38700.3</f>
        <v>104192.76000000001</v>
      </c>
      <c r="H385" s="215">
        <v>0</v>
      </c>
      <c r="I385" s="174"/>
      <c r="J385" s="13"/>
      <c r="K385" s="2"/>
    </row>
    <row r="386" spans="1:11" s="8" customFormat="1" ht="30" x14ac:dyDescent="0.2">
      <c r="A386" s="22">
        <v>6330</v>
      </c>
      <c r="B386" s="25">
        <v>5347</v>
      </c>
      <c r="C386" s="28" t="s">
        <v>247</v>
      </c>
      <c r="D386" s="24">
        <v>0</v>
      </c>
      <c r="E386" s="24">
        <v>15</v>
      </c>
      <c r="F386" s="24">
        <v>15000</v>
      </c>
      <c r="G386" s="222">
        <v>15000</v>
      </c>
      <c r="H386" s="215">
        <v>0</v>
      </c>
      <c r="I386" s="174"/>
      <c r="J386" s="13"/>
      <c r="K386" s="2"/>
    </row>
    <row r="387" spans="1:11" s="8" customFormat="1" x14ac:dyDescent="0.2">
      <c r="A387" s="22">
        <v>6330</v>
      </c>
      <c r="B387" s="25">
        <v>5349</v>
      </c>
      <c r="C387" s="167" t="s">
        <v>91</v>
      </c>
      <c r="D387" s="24">
        <f>'Rozpočet 2019 Příjmy '!D38</f>
        <v>0</v>
      </c>
      <c r="E387" s="24">
        <f>'Rozpočet 2019 Příjmy '!E38</f>
        <v>1300</v>
      </c>
      <c r="F387" s="24">
        <f>'Rozpočet 2019 Příjmy '!F38</f>
        <v>1300000</v>
      </c>
      <c r="G387" s="24">
        <f>'Rozpočet 2019 Příjmy '!G38</f>
        <v>1300000</v>
      </c>
      <c r="H387" s="215">
        <f>'Rozpočet 2019 Příjmy '!H38</f>
        <v>0</v>
      </c>
      <c r="I387" s="174"/>
      <c r="J387" s="13"/>
      <c r="K387" s="2"/>
    </row>
    <row r="388" spans="1:11" s="8" customFormat="1" ht="15.75" x14ac:dyDescent="0.25">
      <c r="A388" s="65">
        <v>6330</v>
      </c>
      <c r="B388" s="66"/>
      <c r="C388" s="67" t="s">
        <v>37</v>
      </c>
      <c r="D388" s="68">
        <f>SUM(D382:D387)</f>
        <v>1247</v>
      </c>
      <c r="E388" s="68">
        <f>SUM(E382:E387)</f>
        <v>2666.2</v>
      </c>
      <c r="F388" s="64">
        <f>SUM(F382:F387)</f>
        <v>2102932.6800000002</v>
      </c>
      <c r="G388" s="234">
        <f>SUM(G382:G387)</f>
        <v>2102932.6800000002</v>
      </c>
      <c r="H388" s="219">
        <f>SUM(H382:H387)</f>
        <v>1768.5</v>
      </c>
      <c r="I388" s="243">
        <f>H388</f>
        <v>1768.5</v>
      </c>
      <c r="J388" s="13"/>
      <c r="K388" s="2"/>
    </row>
    <row r="389" spans="1:11" s="8" customFormat="1" ht="16.5" thickBot="1" x14ac:dyDescent="0.3">
      <c r="A389" s="76"/>
      <c r="B389" s="77"/>
      <c r="C389" s="78"/>
      <c r="D389" s="79"/>
      <c r="E389" s="80"/>
      <c r="F389" s="81"/>
      <c r="G389" s="241"/>
      <c r="H389" s="228"/>
      <c r="I389" s="244"/>
      <c r="J389" s="13"/>
      <c r="K389" s="2"/>
    </row>
    <row r="390" spans="1:11" s="8" customFormat="1" ht="32.25" thickBot="1" x14ac:dyDescent="0.3">
      <c r="A390" s="37"/>
      <c r="B390" s="82"/>
      <c r="C390" s="83" t="s">
        <v>141</v>
      </c>
      <c r="D390" s="54">
        <f>D44+D47+D54+D63+D78+D115+D135+D153+D159+D164+D173+D183+D187+D191+D194+D202+D205+D220+D223+D234+D237+D240+D253+D261+D264+D270+D282+D287+D290+D313+D330+D332+D334+D371+D374+D377+D380+D388</f>
        <v>104061.5</v>
      </c>
      <c r="E390" s="54">
        <f>E44+E47+E54+E63+E78+E115+E135+E153+E159+E164+E173+E183+E187+E191+E194+E202+E205+E220+E223+E234+E237+E240+E253+E261+E264+E270+E282+E287+E290+E313+E330+E332+E334+E371+E374+E377+E380+E388</f>
        <v>141209.4</v>
      </c>
      <c r="F390" s="54">
        <f>F44+F47+F54+F63+F78+F115+F135+F153+F159+F164+F173+F183+F187+F191+F194+F202+F205+F220+F223+F234+F237+F240+F253+F261+F264+F270+F282+F287+F290+F313+F330+F332+F334+F371+F374+F377+F380+F388</f>
        <v>76558395.50000003</v>
      </c>
      <c r="G390" s="54">
        <f>G44+G47+G54+G63+G78+G115+G135+G153+G159+G164+G173+G183+G187+G191+G194+G202+G205+G220+G223+G234+G237+G240+G253+G261+G264+G270+G282+G287+G290+G313+G330+G332+G334+G371+G374+G377+G380+G388</f>
        <v>82062955.099999994</v>
      </c>
      <c r="H390" s="220">
        <f>H44+H47+H54+H63+H78+H115+H135+H153+H159+H164+H173+H183+H187+H191+H194+H202+H205+H220+H223+H234+H237+H240+H253+H261+H264+H270+H282+H287+H290+H313+H330+H332+H334+H371+H374+H377+H380+H388</f>
        <v>82295.5</v>
      </c>
      <c r="I390" s="55">
        <f>SUM(I7:I388)</f>
        <v>82295.5</v>
      </c>
      <c r="J390" s="13"/>
      <c r="K390" s="2"/>
    </row>
    <row r="391" spans="1:11" s="8" customFormat="1" ht="16.5" thickBot="1" x14ac:dyDescent="0.3">
      <c r="A391" s="110"/>
      <c r="B391" s="125"/>
      <c r="C391" s="126"/>
      <c r="D391" s="127"/>
      <c r="E391" s="119"/>
      <c r="F391" s="119"/>
      <c r="G391" s="128"/>
      <c r="H391" s="26"/>
      <c r="I391" s="26"/>
      <c r="J391" s="13"/>
      <c r="K391" s="2"/>
    </row>
    <row r="392" spans="1:11" s="8" customFormat="1" ht="30.75" thickBot="1" x14ac:dyDescent="0.25">
      <c r="A392" s="110"/>
      <c r="B392" s="124"/>
      <c r="C392" s="124" t="s">
        <v>138</v>
      </c>
      <c r="D392" s="124">
        <f>-D388</f>
        <v>-1247</v>
      </c>
      <c r="E392" s="124">
        <f>-E388</f>
        <v>-2666.2</v>
      </c>
      <c r="F392" s="168">
        <f>-F388</f>
        <v>-2102932.6800000002</v>
      </c>
      <c r="G392" s="169">
        <f>-G388</f>
        <v>-2102932.6800000002</v>
      </c>
      <c r="H392" s="231">
        <f t="shared" ref="H392:I392" si="11">-H388</f>
        <v>-1768.5</v>
      </c>
      <c r="I392" s="230">
        <f t="shared" si="11"/>
        <v>-1768.5</v>
      </c>
      <c r="J392" s="13"/>
      <c r="K392" s="2"/>
    </row>
    <row r="393" spans="1:11" s="8" customFormat="1" ht="15.75" thickBot="1" x14ac:dyDescent="0.25">
      <c r="A393" s="110"/>
      <c r="B393" s="125"/>
      <c r="C393" s="129"/>
      <c r="D393" s="130"/>
      <c r="E393" s="130"/>
      <c r="F393" s="131"/>
      <c r="G393" s="130"/>
      <c r="H393" s="26"/>
      <c r="I393" s="26"/>
      <c r="J393" s="13"/>
      <c r="K393" s="2"/>
    </row>
    <row r="394" spans="1:11" s="8" customFormat="1" ht="32.25" thickBot="1" x14ac:dyDescent="0.3">
      <c r="A394" s="37"/>
      <c r="B394" s="82"/>
      <c r="C394" s="83" t="s">
        <v>139</v>
      </c>
      <c r="D394" s="54">
        <f>SUM(D390:D392)</f>
        <v>102814.5</v>
      </c>
      <c r="E394" s="54">
        <f>SUM(E390:E392)</f>
        <v>138543.19999999998</v>
      </c>
      <c r="F394" s="54">
        <f>SUM(F390:F392)</f>
        <v>74455462.820000023</v>
      </c>
      <c r="G394" s="54">
        <f>SUM(G390:G392)</f>
        <v>79960022.419999987</v>
      </c>
      <c r="H394" s="220">
        <f t="shared" ref="H394" si="12">SUM(H390:H392)</f>
        <v>80527</v>
      </c>
      <c r="I394" s="55">
        <f>SUM(I390:I392)</f>
        <v>80527</v>
      </c>
      <c r="J394" s="13"/>
      <c r="K394" s="2"/>
    </row>
    <row r="395" spans="1:11" s="8" customFormat="1" ht="16.5" thickBot="1" x14ac:dyDescent="0.3">
      <c r="A395" s="45"/>
      <c r="B395" s="111"/>
      <c r="C395" s="111"/>
      <c r="D395" s="111"/>
      <c r="E395" s="48"/>
      <c r="F395" s="48"/>
      <c r="G395" s="119"/>
      <c r="H395" s="26"/>
      <c r="I395" s="26"/>
      <c r="J395" s="13"/>
      <c r="K395" s="2"/>
    </row>
    <row r="396" spans="1:11" s="8" customFormat="1" ht="16.5" thickBot="1" x14ac:dyDescent="0.3">
      <c r="A396" s="37"/>
      <c r="B396" s="82"/>
      <c r="C396" s="83" t="s">
        <v>140</v>
      </c>
      <c r="D396" s="54">
        <f t="shared" ref="D396:E396" si="13">D385+D386</f>
        <v>0</v>
      </c>
      <c r="E396" s="54">
        <f t="shared" si="13"/>
        <v>119.19999999999999</v>
      </c>
      <c r="F396" s="54">
        <f>F385+F386</f>
        <v>119192.76000000001</v>
      </c>
      <c r="G396" s="54">
        <f>G385+G386</f>
        <v>119192.76000000001</v>
      </c>
      <c r="H396" s="220">
        <f t="shared" ref="H396:I396" si="14">H385+H386</f>
        <v>0</v>
      </c>
      <c r="I396" s="55">
        <f t="shared" si="14"/>
        <v>0</v>
      </c>
      <c r="J396" s="13"/>
      <c r="K396" s="2"/>
    </row>
    <row r="397" spans="1:11" s="8" customFormat="1" ht="16.5" thickBot="1" x14ac:dyDescent="0.3">
      <c r="A397" s="45"/>
      <c r="B397" s="111"/>
      <c r="C397" s="111"/>
      <c r="D397" s="111"/>
      <c r="E397" s="48"/>
      <c r="F397" s="48"/>
      <c r="G397" s="119"/>
      <c r="H397" s="26"/>
      <c r="I397" s="26"/>
      <c r="J397" s="13"/>
      <c r="K397" s="2"/>
    </row>
    <row r="398" spans="1:11" s="8" customFormat="1" ht="16.5" thickBot="1" x14ac:dyDescent="0.3">
      <c r="A398" s="84"/>
      <c r="B398" s="85"/>
      <c r="C398" s="86" t="s">
        <v>144</v>
      </c>
      <c r="D398" s="87">
        <f>SUM(D394:D396)</f>
        <v>102814.5</v>
      </c>
      <c r="E398" s="87">
        <f>SUM(E394:E396)</f>
        <v>138662.39999999999</v>
      </c>
      <c r="F398" s="88">
        <f>SUM(F394:F396)</f>
        <v>74574655.580000028</v>
      </c>
      <c r="G398" s="88">
        <f>SUM(G394:G396)</f>
        <v>80079215.179999992</v>
      </c>
      <c r="H398" s="232">
        <f t="shared" ref="H398:I398" si="15">SUM(H394:H396)</f>
        <v>80527</v>
      </c>
      <c r="I398" s="89">
        <f t="shared" si="15"/>
        <v>80527</v>
      </c>
      <c r="J398" s="13"/>
      <c r="K398" s="2"/>
    </row>
    <row r="399" spans="1:11" s="8" customFormat="1" ht="15.75" x14ac:dyDescent="0.25">
      <c r="A399" s="114"/>
      <c r="B399" s="114"/>
      <c r="C399" s="115"/>
      <c r="D399" s="116"/>
      <c r="E399" s="117"/>
      <c r="F399" s="117"/>
      <c r="G399" s="118"/>
      <c r="H399" s="26"/>
      <c r="I399" s="26"/>
      <c r="J399" s="13"/>
      <c r="K399" s="2"/>
    </row>
    <row r="400" spans="1:11" s="8" customFormat="1" ht="15.75" x14ac:dyDescent="0.25">
      <c r="A400" s="30"/>
      <c r="B400" s="30"/>
      <c r="C400" s="93"/>
      <c r="D400" s="94"/>
      <c r="E400" s="95"/>
      <c r="F400" s="95"/>
      <c r="G400" s="105"/>
      <c r="H400" s="26"/>
      <c r="I400" s="26"/>
      <c r="J400" s="13"/>
      <c r="K400" s="2"/>
    </row>
    <row r="401" spans="1:13" s="8" customFormat="1" ht="15.75" x14ac:dyDescent="0.25">
      <c r="A401" s="30"/>
      <c r="B401" s="30"/>
      <c r="C401" s="93"/>
      <c r="D401" s="94"/>
      <c r="E401" s="95"/>
      <c r="F401" s="95"/>
      <c r="G401" s="105"/>
      <c r="H401" s="26"/>
      <c r="I401" s="26"/>
      <c r="J401" s="13"/>
      <c r="K401" s="2"/>
    </row>
    <row r="402" spans="1:13" s="8" customFormat="1" ht="15.75" x14ac:dyDescent="0.25">
      <c r="A402" s="30"/>
      <c r="B402" s="30"/>
      <c r="C402" s="93"/>
      <c r="D402" s="94"/>
      <c r="E402" s="95"/>
      <c r="F402" s="95"/>
      <c r="G402" s="105"/>
      <c r="H402" s="26"/>
      <c r="I402" s="26"/>
      <c r="J402" s="13"/>
      <c r="K402" s="2"/>
    </row>
    <row r="403" spans="1:13" s="8" customFormat="1" ht="15.75" x14ac:dyDescent="0.25">
      <c r="A403" s="30"/>
      <c r="B403" s="30"/>
      <c r="C403" s="93"/>
      <c r="D403" s="94"/>
      <c r="E403" s="95"/>
      <c r="F403" s="95"/>
      <c r="G403" s="105"/>
      <c r="H403" s="26"/>
      <c r="I403" s="26"/>
      <c r="J403" s="13"/>
      <c r="K403" s="2"/>
    </row>
    <row r="404" spans="1:13" s="8" customFormat="1" ht="15.75" x14ac:dyDescent="0.25">
      <c r="A404" s="30"/>
      <c r="B404" s="30"/>
      <c r="C404" s="93"/>
      <c r="D404" s="94"/>
      <c r="E404" s="95"/>
      <c r="F404" s="95"/>
      <c r="G404" s="105"/>
      <c r="H404" s="26"/>
      <c r="I404" s="26"/>
      <c r="J404" s="13"/>
      <c r="K404" s="2"/>
    </row>
    <row r="405" spans="1:13" s="8" customFormat="1" ht="15.75" x14ac:dyDescent="0.25">
      <c r="A405" s="30"/>
      <c r="B405" s="30"/>
      <c r="C405" s="93"/>
      <c r="D405" s="94"/>
      <c r="E405" s="95"/>
      <c r="F405" s="95"/>
      <c r="G405" s="105"/>
      <c r="H405" s="26"/>
      <c r="I405" s="26"/>
      <c r="J405" s="13"/>
      <c r="K405" s="2"/>
    </row>
    <row r="406" spans="1:13" s="8" customFormat="1" ht="15.75" x14ac:dyDescent="0.25">
      <c r="A406" s="23"/>
      <c r="B406" s="23"/>
      <c r="C406" s="93"/>
      <c r="D406" s="94"/>
      <c r="E406" s="95"/>
      <c r="F406" s="95"/>
      <c r="G406" s="105"/>
      <c r="H406" s="26"/>
      <c r="I406" s="26"/>
      <c r="J406" s="13"/>
      <c r="K406" s="2"/>
    </row>
    <row r="407" spans="1:13" ht="16.5" thickBot="1" x14ac:dyDescent="0.3">
      <c r="B407" s="97"/>
      <c r="C407" s="11" t="s">
        <v>169</v>
      </c>
      <c r="D407" s="47"/>
      <c r="F407" s="26"/>
      <c r="G407" s="107"/>
      <c r="K407"/>
      <c r="L407"/>
      <c r="M407"/>
    </row>
    <row r="408" spans="1:13" ht="32.25" thickBot="1" x14ac:dyDescent="0.3">
      <c r="B408" s="97"/>
      <c r="C408" s="98" t="s">
        <v>150</v>
      </c>
      <c r="D408" s="87">
        <f>'Rozpočet 2019 Příjmy '!D84</f>
        <v>58879</v>
      </c>
      <c r="E408" s="87">
        <f>'Rozpočet 2019 Příjmy '!E84</f>
        <v>81924.899999999994</v>
      </c>
      <c r="F408" s="87">
        <f>'Rozpočet 2019 Příjmy '!F84</f>
        <v>66182878.349999994</v>
      </c>
      <c r="G408" s="87">
        <f>'Rozpočet 2019 Příjmy '!G84</f>
        <v>70452692.269999996</v>
      </c>
      <c r="H408" s="100">
        <f>'Rozpočet 2019 Příjmy '!H84</f>
        <v>54131</v>
      </c>
      <c r="I408" s="89">
        <f>'Rozpočet 2019 Příjmy '!I84</f>
        <v>54131</v>
      </c>
      <c r="K408"/>
      <c r="L408"/>
      <c r="M408"/>
    </row>
    <row r="409" spans="1:13" ht="15.75" x14ac:dyDescent="0.25">
      <c r="B409" s="97"/>
      <c r="D409" s="99"/>
      <c r="E409" s="99"/>
      <c r="F409" s="99"/>
      <c r="G409" s="108"/>
      <c r="K409"/>
      <c r="L409"/>
      <c r="M409"/>
    </row>
    <row r="410" spans="1:13" ht="15.75" x14ac:dyDescent="0.25">
      <c r="B410" s="97"/>
      <c r="C410" s="96" t="s">
        <v>143</v>
      </c>
      <c r="D410" s="26">
        <f>D412-D411</f>
        <v>34373</v>
      </c>
      <c r="E410" s="26">
        <f t="shared" ref="E410:I410" si="16">E412-E411</f>
        <v>60949.299999999988</v>
      </c>
      <c r="F410" s="26">
        <f t="shared" si="16"/>
        <v>35053538.940000027</v>
      </c>
      <c r="G410" s="26">
        <f t="shared" si="16"/>
        <v>39787700.539999992</v>
      </c>
      <c r="H410" s="26">
        <f t="shared" si="16"/>
        <v>38424</v>
      </c>
      <c r="I410" s="26">
        <f t="shared" si="16"/>
        <v>38424</v>
      </c>
      <c r="K410"/>
      <c r="L410"/>
      <c r="M410"/>
    </row>
    <row r="411" spans="1:13" ht="16.5" thickBot="1" x14ac:dyDescent="0.3">
      <c r="B411" s="97"/>
      <c r="C411" s="96" t="s">
        <v>48</v>
      </c>
      <c r="D411" s="26">
        <f>D29+D30+D31+D32+D33+D36+D38+D39+D42+D61+D62+D74+D77+D76+D102+D103+D107+D108+D110+D111+D113+D114+D171+D189+D190+D250+D310+D281+D311+D100+D101</f>
        <v>68441.5</v>
      </c>
      <c r="E411" s="26">
        <f>E29+E30+E31+E32+E33+E36+E38+E39+E42+E61+E62+E74+E77+E76+E102+E103+E107+E108+E110+E111+E113+E114+E171+E189+E190+E250+E310+E281+E311+E100+E101</f>
        <v>77713.100000000006</v>
      </c>
      <c r="F411" s="26">
        <f>F29+F30+F31+F32+F33+F36+F38+F39+F42+F61+F62+F74+F77+F76+F102+F103+F107+F108+F110+F111+F113+F114+F171+F189+F190+F250+F310+F281+F311+F100+F101</f>
        <v>39521116.640000001</v>
      </c>
      <c r="G411" s="26">
        <f>G29+G30+G31+G32+G33+G36+G38+G39+G42+G61+G62+G74+G77+G76+G102+G103+G107+G108+G110+G111+G113+G114+G171+G189+G190+G250+G310+G281+G311+G100+G101</f>
        <v>40291514.640000001</v>
      </c>
      <c r="H411" s="26">
        <f>H32+H33+H34+H37+H38+H39+H40+H41+H43+H53+H60+H61+H62+H75+H107+H110+H113+H171+H172+H189+H219+H231+H232+H233+H251+H252+H281+H310+H312+H370</f>
        <v>42103</v>
      </c>
      <c r="I411" s="26">
        <f>H411</f>
        <v>42103</v>
      </c>
      <c r="K411"/>
      <c r="L411"/>
      <c r="M411"/>
    </row>
    <row r="412" spans="1:13" ht="16.5" thickBot="1" x14ac:dyDescent="0.3">
      <c r="B412" s="97"/>
      <c r="C412" s="98" t="s">
        <v>142</v>
      </c>
      <c r="D412" s="100">
        <f t="shared" ref="D412:I412" si="17">D398</f>
        <v>102814.5</v>
      </c>
      <c r="E412" s="100">
        <f t="shared" si="17"/>
        <v>138662.39999999999</v>
      </c>
      <c r="F412" s="88">
        <f t="shared" si="17"/>
        <v>74574655.580000028</v>
      </c>
      <c r="G412" s="89">
        <f t="shared" si="17"/>
        <v>80079215.179999992</v>
      </c>
      <c r="H412" s="88">
        <f t="shared" si="17"/>
        <v>80527</v>
      </c>
      <c r="I412" s="89">
        <f t="shared" si="17"/>
        <v>80527</v>
      </c>
      <c r="K412"/>
      <c r="L412"/>
      <c r="M412"/>
    </row>
    <row r="413" spans="1:13" ht="16.5" thickBot="1" x14ac:dyDescent="0.3">
      <c r="B413" s="97"/>
      <c r="C413" s="101"/>
      <c r="F413" s="26"/>
      <c r="G413" s="107"/>
      <c r="I413" s="130"/>
      <c r="K413"/>
      <c r="L413"/>
      <c r="M413"/>
    </row>
    <row r="414" spans="1:13" ht="16.5" thickBot="1" x14ac:dyDescent="0.3">
      <c r="B414" s="97"/>
      <c r="C414" s="132" t="s">
        <v>180</v>
      </c>
      <c r="D414" s="133">
        <f>D408-D412</f>
        <v>-43935.5</v>
      </c>
      <c r="E414" s="133">
        <f>E408-E412</f>
        <v>-56737.5</v>
      </c>
      <c r="F414" s="55">
        <f>F408-F412</f>
        <v>-8391777.230000034</v>
      </c>
      <c r="G414" s="55">
        <f>G408-G412</f>
        <v>-9626522.9099999964</v>
      </c>
      <c r="H414" s="54">
        <f t="shared" ref="H414:I414" si="18">H408-H412</f>
        <v>-26396</v>
      </c>
      <c r="I414" s="55">
        <f t="shared" si="18"/>
        <v>-26396</v>
      </c>
      <c r="K414"/>
      <c r="L414"/>
      <c r="M414"/>
    </row>
    <row r="415" spans="1:13" ht="16.5" thickBot="1" x14ac:dyDescent="0.3">
      <c r="B415" s="97"/>
      <c r="C415" s="101"/>
      <c r="F415" s="26"/>
      <c r="G415" s="107"/>
      <c r="K415"/>
      <c r="L415"/>
      <c r="M415"/>
    </row>
    <row r="416" spans="1:13" ht="32.25" thickBot="1" x14ac:dyDescent="0.3">
      <c r="B416" s="97"/>
      <c r="C416" s="98" t="s">
        <v>170</v>
      </c>
      <c r="D416" s="87">
        <f>-(D414)</f>
        <v>43935.5</v>
      </c>
      <c r="E416" s="87">
        <f>-(E414)</f>
        <v>56737.5</v>
      </c>
      <c r="F416" s="88">
        <f>-(F414)</f>
        <v>8391777.230000034</v>
      </c>
      <c r="G416" s="89">
        <f>-(G414)</f>
        <v>9626522.9099999964</v>
      </c>
      <c r="H416" s="88">
        <f t="shared" ref="H416:I416" si="19">-(H414)</f>
        <v>26396</v>
      </c>
      <c r="I416" s="89">
        <f t="shared" si="19"/>
        <v>26396</v>
      </c>
      <c r="K416"/>
      <c r="L416"/>
      <c r="M416"/>
    </row>
    <row r="417" spans="1:10" x14ac:dyDescent="0.2">
      <c r="C417" s="102"/>
      <c r="D417" s="103"/>
      <c r="E417" s="103"/>
      <c r="F417" s="103"/>
      <c r="G417" s="109"/>
      <c r="I417" s="103"/>
      <c r="J417" s="15"/>
    </row>
    <row r="418" spans="1:10" x14ac:dyDescent="0.2">
      <c r="C418" s="102"/>
      <c r="D418" s="103"/>
      <c r="E418" s="103"/>
      <c r="F418" s="103"/>
      <c r="G418" s="109"/>
      <c r="I418" s="103"/>
      <c r="J418" s="15"/>
    </row>
    <row r="419" spans="1:10" s="2" customFormat="1" x14ac:dyDescent="0.2">
      <c r="A419" s="45"/>
      <c r="B419" s="45"/>
      <c r="C419" s="102"/>
      <c r="D419" s="103"/>
      <c r="E419" s="103"/>
      <c r="F419" s="103"/>
      <c r="G419" s="109"/>
      <c r="H419" s="26"/>
      <c r="I419" s="103"/>
      <c r="J419" s="15"/>
    </row>
    <row r="420" spans="1:10" s="2" customFormat="1" x14ac:dyDescent="0.2">
      <c r="A420" s="45"/>
      <c r="B420" s="45"/>
      <c r="C420" s="102"/>
      <c r="D420" s="103"/>
      <c r="E420" s="103"/>
      <c r="F420" s="103"/>
      <c r="G420" s="109"/>
      <c r="H420" s="26"/>
      <c r="I420" s="103"/>
      <c r="J420" s="15"/>
    </row>
    <row r="421" spans="1:10" s="2" customFormat="1" x14ac:dyDescent="0.2">
      <c r="A421" s="45"/>
      <c r="B421" s="45"/>
      <c r="C421" s="102"/>
      <c r="D421" s="103"/>
      <c r="E421" s="103"/>
      <c r="F421" s="103"/>
      <c r="G421" s="109"/>
      <c r="H421" s="26"/>
      <c r="I421" s="103"/>
      <c r="J421" s="15"/>
    </row>
  </sheetData>
  <mergeCells count="3">
    <mergeCell ref="A1:I1"/>
    <mergeCell ref="A2:I2"/>
    <mergeCell ref="B3:I3"/>
  </mergeCells>
  <pageMargins left="0.70866141732283472" right="0.70866141732283472" top="0.78740157480314965" bottom="0.78740157480314965" header="0.31496062992125984" footer="0.31496062992125984"/>
  <pageSetup paperSize="9" scale="70" fitToHeight="55" orientation="landscape" r:id="rId1"/>
  <headerFooter differentFirst="1">
    <oddFooter>&amp;CStránka &amp;P</oddFooter>
    <firstFooter>&amp;CStránka 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2019 Příjmy </vt:lpstr>
      <vt:lpstr>Rozpočet 2019 Výdaje</vt:lpstr>
      <vt:lpstr>'Rozpočet 2019 Příjmy '!Názvy_tisku</vt:lpstr>
      <vt:lpstr>'Rozpočet 2019 Výdaje'!Názvy_tisku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2018-12-06T15:41:06Z</cp:lastPrinted>
  <dcterms:created xsi:type="dcterms:W3CDTF">2001-03-03T09:02:45Z</dcterms:created>
  <dcterms:modified xsi:type="dcterms:W3CDTF">2019-01-10T17:45:31Z</dcterms:modified>
</cp:coreProperties>
</file>