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ZPOČET INFO\2023 Rozpočty MČ na web\"/>
    </mc:Choice>
  </mc:AlternateContent>
  <bookViews>
    <workbookView xWindow="0" yWindow="0" windowWidth="18630" windowHeight="8145" tabRatio="599"/>
  </bookViews>
  <sheets>
    <sheet name="Rozpočet 2023 příjmy pozmen n  " sheetId="155" r:id="rId1"/>
    <sheet name="Rozpočet 2023 výdaje pozm n" sheetId="156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7" i="156" l="1"/>
  <c r="G219" i="156" l="1"/>
  <c r="F219" i="156"/>
  <c r="E219" i="156"/>
  <c r="D219" i="156"/>
  <c r="G366" i="156" l="1"/>
  <c r="G394" i="156" l="1"/>
  <c r="G393" i="156"/>
  <c r="G392" i="156"/>
  <c r="G328" i="156" l="1"/>
  <c r="H328" i="156" s="1"/>
  <c r="D255" i="156"/>
  <c r="G255" i="156"/>
  <c r="G191" i="156"/>
  <c r="G69" i="156"/>
  <c r="G34" i="156"/>
  <c r="D116" i="156" l="1"/>
  <c r="G116" i="156"/>
  <c r="F330" i="156"/>
  <c r="F281" i="156" l="1"/>
  <c r="F299" i="156"/>
  <c r="H409" i="156" l="1"/>
  <c r="G409" i="156"/>
  <c r="H191" i="156"/>
  <c r="G402" i="156"/>
  <c r="H402" i="156" s="1"/>
  <c r="G390" i="156"/>
  <c r="H390" i="156" s="1"/>
  <c r="G386" i="156"/>
  <c r="H386" i="156" s="1"/>
  <c r="G383" i="156"/>
  <c r="H383" i="156" s="1"/>
  <c r="G380" i="156"/>
  <c r="H380" i="156" s="1"/>
  <c r="H366" i="156"/>
  <c r="G317" i="156"/>
  <c r="H317" i="156" s="1"/>
  <c r="G297" i="156"/>
  <c r="H297" i="156" s="1"/>
  <c r="G270" i="156"/>
  <c r="H270" i="156" s="1"/>
  <c r="G267" i="156"/>
  <c r="H267" i="156" s="1"/>
  <c r="G260" i="156"/>
  <c r="H260" i="156" s="1"/>
  <c r="H255" i="156"/>
  <c r="G236" i="156"/>
  <c r="H236" i="156" s="1"/>
  <c r="G229" i="156"/>
  <c r="H229" i="156" s="1"/>
  <c r="G226" i="156"/>
  <c r="H226" i="156" s="1"/>
  <c r="H219" i="156"/>
  <c r="G206" i="156"/>
  <c r="H206" i="156" s="1"/>
  <c r="G203" i="156"/>
  <c r="H203" i="156" s="1"/>
  <c r="G199" i="156"/>
  <c r="H199" i="156" s="1"/>
  <c r="G188" i="156"/>
  <c r="H188" i="156" s="1"/>
  <c r="G172" i="156"/>
  <c r="H172" i="156" s="1"/>
  <c r="G169" i="156"/>
  <c r="H169" i="156" s="1"/>
  <c r="G162" i="156"/>
  <c r="H162" i="156" s="1"/>
  <c r="G153" i="156" l="1"/>
  <c r="H153" i="156" s="1"/>
  <c r="G145" i="156"/>
  <c r="H145" i="156" s="1"/>
  <c r="G141" i="156"/>
  <c r="H141" i="156" s="1"/>
  <c r="G138" i="156"/>
  <c r="H138" i="156" s="1"/>
  <c r="G135" i="156"/>
  <c r="H135" i="156" s="1"/>
  <c r="H116" i="156"/>
  <c r="G98" i="156"/>
  <c r="H98" i="156" s="1"/>
  <c r="H69" i="156"/>
  <c r="G56" i="156"/>
  <c r="H56" i="156" s="1"/>
  <c r="G48" i="156"/>
  <c r="H48" i="156" s="1"/>
  <c r="F33" i="156" l="1"/>
  <c r="F286" i="156" l="1"/>
  <c r="G43" i="156" l="1"/>
  <c r="H43" i="156" s="1"/>
  <c r="G40" i="156"/>
  <c r="H40" i="156" s="1"/>
  <c r="G404" i="156" l="1"/>
  <c r="H405" i="156"/>
  <c r="H404" i="156"/>
  <c r="H407" i="156" s="1"/>
  <c r="G80" i="155"/>
  <c r="G79" i="155"/>
  <c r="G78" i="155"/>
  <c r="G77" i="155"/>
  <c r="G76" i="155"/>
  <c r="G74" i="155"/>
  <c r="H28" i="155"/>
  <c r="G69" i="155"/>
  <c r="H69" i="155" s="1"/>
  <c r="G28" i="155"/>
  <c r="G14" i="155"/>
  <c r="H411" i="156" l="1"/>
  <c r="H418" i="156" s="1"/>
  <c r="G85" i="155"/>
  <c r="H85" i="155" s="1"/>
  <c r="G81" i="155"/>
  <c r="H81" i="155" s="1"/>
  <c r="G71" i="155"/>
  <c r="H14" i="155"/>
  <c r="H71" i="155" s="1"/>
  <c r="F33" i="155"/>
  <c r="H83" i="155" l="1"/>
  <c r="H87" i="155" s="1"/>
  <c r="H414" i="156" s="1"/>
  <c r="H420" i="156" s="1"/>
  <c r="H422" i="156" s="1"/>
  <c r="G83" i="155"/>
  <c r="G87" i="155" s="1"/>
  <c r="G414" i="156" s="1"/>
  <c r="F114" i="156"/>
  <c r="F104" i="156"/>
  <c r="F39" i="156" l="1"/>
  <c r="F349" i="156" l="1"/>
  <c r="F360" i="156"/>
  <c r="F346" i="156"/>
  <c r="F348" i="156"/>
  <c r="F306" i="156"/>
  <c r="F112" i="156"/>
  <c r="F116" i="156" s="1"/>
  <c r="F289" i="156"/>
  <c r="F291" i="156"/>
  <c r="F353" i="156"/>
  <c r="F351" i="156"/>
  <c r="E328" i="156"/>
  <c r="D328" i="156"/>
  <c r="F279" i="156"/>
  <c r="F247" i="156"/>
  <c r="F366" i="156" l="1"/>
  <c r="F212" i="156"/>
  <c r="F184" i="156"/>
  <c r="F185" i="156"/>
  <c r="F122" i="156" l="1"/>
  <c r="F38" i="155"/>
  <c r="F244" i="156" l="1"/>
  <c r="F250" i="156"/>
  <c r="F249" i="156" l="1"/>
  <c r="F253" i="156"/>
  <c r="F394" i="156"/>
  <c r="E394" i="156"/>
  <c r="D394" i="156"/>
  <c r="F393" i="156"/>
  <c r="E393" i="156"/>
  <c r="D393" i="156"/>
  <c r="F392" i="156"/>
  <c r="E392" i="156"/>
  <c r="D392" i="156"/>
  <c r="E414" i="156"/>
  <c r="D414" i="156"/>
  <c r="D417" i="156"/>
  <c r="E409" i="156"/>
  <c r="D409" i="156"/>
  <c r="F399" i="156"/>
  <c r="F398" i="156"/>
  <c r="F390" i="156"/>
  <c r="D390" i="156"/>
  <c r="E388" i="156"/>
  <c r="F386" i="156"/>
  <c r="D386" i="156"/>
  <c r="E385" i="156"/>
  <c r="E386" i="156" s="1"/>
  <c r="F383" i="156"/>
  <c r="E383" i="156"/>
  <c r="D383" i="156"/>
  <c r="D380" i="156"/>
  <c r="E379" i="156"/>
  <c r="F377" i="156"/>
  <c r="F380" i="156" s="1"/>
  <c r="E375" i="156"/>
  <c r="E373" i="156"/>
  <c r="D364" i="156"/>
  <c r="D348" i="156"/>
  <c r="D366" i="156" s="1"/>
  <c r="E341" i="156"/>
  <c r="E366" i="156" s="1"/>
  <c r="F325" i="156"/>
  <c r="E317" i="156"/>
  <c r="D317" i="156"/>
  <c r="F312" i="156"/>
  <c r="D297" i="156"/>
  <c r="F295" i="156"/>
  <c r="E295" i="156"/>
  <c r="E279" i="156"/>
  <c r="F270" i="156"/>
  <c r="E270" i="156"/>
  <c r="D270" i="156"/>
  <c r="F267" i="156"/>
  <c r="E267" i="156"/>
  <c r="D267" i="156"/>
  <c r="F260" i="156"/>
  <c r="E260" i="156"/>
  <c r="D260" i="156"/>
  <c r="E247" i="156"/>
  <c r="E255" i="156" s="1"/>
  <c r="F245" i="156"/>
  <c r="F243" i="156"/>
  <c r="F239" i="156"/>
  <c r="F236" i="156"/>
  <c r="E236" i="156"/>
  <c r="D236" i="156"/>
  <c r="F229" i="156"/>
  <c r="E229" i="156"/>
  <c r="D229" i="156"/>
  <c r="F226" i="156"/>
  <c r="E226" i="156"/>
  <c r="D226" i="156"/>
  <c r="E215" i="156"/>
  <c r="E212" i="156"/>
  <c r="F206" i="156"/>
  <c r="E206" i="156"/>
  <c r="D206" i="156"/>
  <c r="F203" i="156"/>
  <c r="E203" i="156"/>
  <c r="D203" i="156"/>
  <c r="F199" i="156"/>
  <c r="D199" i="156"/>
  <c r="E195" i="156"/>
  <c r="E199" i="156" s="1"/>
  <c r="F191" i="156"/>
  <c r="E191" i="156"/>
  <c r="D191" i="156"/>
  <c r="F188" i="156"/>
  <c r="E188" i="156"/>
  <c r="D188" i="156"/>
  <c r="F172" i="156"/>
  <c r="E172" i="156"/>
  <c r="D172" i="156"/>
  <c r="F169" i="156"/>
  <c r="E169" i="156"/>
  <c r="D169" i="156"/>
  <c r="D162" i="156"/>
  <c r="E161" i="156"/>
  <c r="F159" i="156"/>
  <c r="F162" i="156" s="1"/>
  <c r="E159" i="156"/>
  <c r="D153" i="156"/>
  <c r="F149" i="156"/>
  <c r="F153" i="156" s="1"/>
  <c r="E147" i="156"/>
  <c r="E153" i="156" s="1"/>
  <c r="E145" i="156"/>
  <c r="D145" i="156"/>
  <c r="F144" i="156"/>
  <c r="F145" i="156" s="1"/>
  <c r="F141" i="156"/>
  <c r="D141" i="156"/>
  <c r="E140" i="156"/>
  <c r="F138" i="156"/>
  <c r="E138" i="156"/>
  <c r="D138" i="156"/>
  <c r="D135" i="156"/>
  <c r="E134" i="156"/>
  <c r="E131" i="156"/>
  <c r="F124" i="156"/>
  <c r="E122" i="156"/>
  <c r="E109" i="156"/>
  <c r="E116" i="156" s="1"/>
  <c r="D98" i="156"/>
  <c r="E95" i="156"/>
  <c r="F78" i="156"/>
  <c r="F77" i="156"/>
  <c r="E77" i="156"/>
  <c r="F75" i="156"/>
  <c r="E75" i="156"/>
  <c r="E67" i="156"/>
  <c r="E66" i="156"/>
  <c r="D62" i="156"/>
  <c r="D69" i="156" s="1"/>
  <c r="F60" i="156"/>
  <c r="F69" i="156" s="1"/>
  <c r="F56" i="156"/>
  <c r="E56" i="156"/>
  <c r="D56" i="156"/>
  <c r="F48" i="156"/>
  <c r="E48" i="156"/>
  <c r="D48" i="156"/>
  <c r="F43" i="156"/>
  <c r="E43" i="156"/>
  <c r="D43" i="156"/>
  <c r="E38" i="156"/>
  <c r="E35" i="156"/>
  <c r="F25" i="156"/>
  <c r="F24" i="156"/>
  <c r="F23" i="156"/>
  <c r="F20" i="156"/>
  <c r="E20" i="156"/>
  <c r="D20" i="156"/>
  <c r="D40" i="156" s="1"/>
  <c r="F19" i="156"/>
  <c r="F18" i="156"/>
  <c r="F17" i="156"/>
  <c r="E17" i="156"/>
  <c r="F80" i="155"/>
  <c r="E80" i="155"/>
  <c r="D80" i="155"/>
  <c r="E79" i="155"/>
  <c r="E85" i="155" s="1"/>
  <c r="D79" i="155"/>
  <c r="D85" i="155" s="1"/>
  <c r="F78" i="155"/>
  <c r="E78" i="155"/>
  <c r="D78" i="155"/>
  <c r="D81" i="155" s="1"/>
  <c r="F77" i="155"/>
  <c r="E77" i="155"/>
  <c r="D77" i="155"/>
  <c r="F76" i="155"/>
  <c r="E76" i="155"/>
  <c r="D76" i="155"/>
  <c r="F74" i="155"/>
  <c r="E74" i="155"/>
  <c r="E81" i="155" s="1"/>
  <c r="D74" i="155"/>
  <c r="E69" i="155"/>
  <c r="D69" i="155"/>
  <c r="F45" i="155"/>
  <c r="F39" i="155"/>
  <c r="F69" i="155"/>
  <c r="F25" i="155"/>
  <c r="F28" i="155" s="1"/>
  <c r="E25" i="155"/>
  <c r="E28" i="155" s="1"/>
  <c r="D22" i="155"/>
  <c r="D28" i="155" s="1"/>
  <c r="F14" i="155"/>
  <c r="E14" i="155"/>
  <c r="D14" i="155"/>
  <c r="D71" i="155" s="1"/>
  <c r="D83" i="155" s="1"/>
  <c r="D87" i="155" s="1"/>
  <c r="E69" i="156" l="1"/>
  <c r="F255" i="156"/>
  <c r="E162" i="156"/>
  <c r="F317" i="156"/>
  <c r="E98" i="156"/>
  <c r="F135" i="156"/>
  <c r="E297" i="156"/>
  <c r="F328" i="156"/>
  <c r="E380" i="156"/>
  <c r="D402" i="156"/>
  <c r="D405" i="156" s="1"/>
  <c r="E40" i="156"/>
  <c r="E135" i="156"/>
  <c r="F297" i="156"/>
  <c r="E417" i="156"/>
  <c r="F409" i="156"/>
  <c r="E402" i="156"/>
  <c r="E405" i="156" s="1"/>
  <c r="F402" i="156"/>
  <c r="F98" i="156"/>
  <c r="E141" i="156"/>
  <c r="F40" i="156"/>
  <c r="E390" i="156"/>
  <c r="F417" i="156"/>
  <c r="E71" i="155"/>
  <c r="E83" i="155" s="1"/>
  <c r="E87" i="155" s="1"/>
  <c r="F71" i="155"/>
  <c r="F79" i="155"/>
  <c r="F81" i="155" s="1"/>
  <c r="G405" i="156" l="1"/>
  <c r="G407" i="156" s="1"/>
  <c r="D404" i="156"/>
  <c r="D407" i="156" s="1"/>
  <c r="D411" i="156" s="1"/>
  <c r="D418" i="156" s="1"/>
  <c r="D416" i="156" s="1"/>
  <c r="F405" i="156"/>
  <c r="E404" i="156"/>
  <c r="E407" i="156" s="1"/>
  <c r="E411" i="156" s="1"/>
  <c r="E418" i="156" s="1"/>
  <c r="F83" i="155"/>
  <c r="F85" i="155"/>
  <c r="G411" i="156" l="1"/>
  <c r="G418" i="156" s="1"/>
  <c r="D420" i="156"/>
  <c r="D422" i="156" s="1"/>
  <c r="F404" i="156"/>
  <c r="F407" i="156" s="1"/>
  <c r="E416" i="156"/>
  <c r="E420" i="156"/>
  <c r="E422" i="156" s="1"/>
  <c r="F87" i="155"/>
  <c r="G420" i="156" l="1"/>
  <c r="G422" i="156" s="1"/>
  <c r="G416" i="156"/>
  <c r="F414" i="156"/>
  <c r="F411" i="156"/>
  <c r="F418" i="156" l="1"/>
  <c r="F416" i="156" l="1"/>
  <c r="F420" i="156"/>
  <c r="F422" i="156" l="1"/>
</calcChain>
</file>

<file path=xl/sharedStrings.xml><?xml version="1.0" encoding="utf-8"?>
<sst xmlns="http://schemas.openxmlformats.org/spreadsheetml/2006/main" count="481" uniqueCount="394">
  <si>
    <t>Paragraf</t>
  </si>
  <si>
    <t>Položka</t>
  </si>
  <si>
    <t>Název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</si>
  <si>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</si>
  <si>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</si>
  <si>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</si>
  <si>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</si>
  <si>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</si>
  <si>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</si>
  <si>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</si>
  <si>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Voda</t>
  </si>
  <si>
    <t>Plyn</t>
  </si>
  <si>
    <t>Elektrická energie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</si>
  <si>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</si>
  <si>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</si>
  <si>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</si>
  <si>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</si>
  <si>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</si>
  <si>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</si>
  <si>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</si>
  <si>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</si>
  <si>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</si>
  <si>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</si>
  <si>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</si>
  <si>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Činnost místní správy</t>
  </si>
  <si>
    <t>Péče o vzhled obcí a veřejnou zeleň</t>
  </si>
  <si>
    <t>Zastupitelstva obcí</t>
  </si>
  <si>
    <t>Převody vlastním fondům /konsolidace/</t>
  </si>
  <si>
    <t>Rozpočtové příjmy</t>
  </si>
  <si>
    <t xml:space="preserve">Název </t>
  </si>
  <si>
    <t>Příjmy z úroků</t>
  </si>
  <si>
    <t>Převody z rozpočtových účtů:</t>
  </si>
  <si>
    <t>Rozpočtové výdaje</t>
  </si>
  <si>
    <t>Povinné pojistné na zdravotní pojištění</t>
  </si>
  <si>
    <t>Revitalizace říčních systémů a vodních ploch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</si>
  <si>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</si>
  <si>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</si>
  <si>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</si>
  <si>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</si>
  <si>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</si>
  <si>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</si>
  <si>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Veřejné osvětlení</t>
  </si>
  <si>
    <t>Dary obyvatelstvu</t>
  </si>
  <si>
    <t>Převody vlastním fondům-převody sociálnímu fondu obcí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</si>
  <si>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</si>
  <si>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</si>
  <si>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</si>
  <si>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</si>
  <si>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</si>
  <si>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Pohonné hmoty</t>
  </si>
  <si>
    <t>Obecné příjmy a výdaje z finančních operací</t>
  </si>
  <si>
    <t xml:space="preserve">Sociální rehabilitace </t>
  </si>
  <si>
    <t>Ostatní služby a činnosti v oblasti soc. péče  /Klub seniorů/</t>
  </si>
  <si>
    <t>Bezpečnost a veřejný pořádek-Městská policie</t>
  </si>
  <si>
    <t>Využití volného času dětí a mládeže</t>
  </si>
  <si>
    <t>Pohonné hmoty - fukar</t>
  </si>
  <si>
    <t>Sportovní zařízení v majetku obce - S.K. Slovan Kunratice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</si>
  <si>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</si>
  <si>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</si>
  <si>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</si>
  <si>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Základní školy celkem vč. investic</t>
  </si>
  <si>
    <t>Převod do fondu Domu s chráněnými byty</t>
  </si>
  <si>
    <t>Převody vlastním fondům-převod do fondu Domu s chráněnými byty</t>
  </si>
  <si>
    <t>Ostatní neinvestiční transfery obyvatelstvu-dárkové poukázky jubilantům</t>
  </si>
  <si>
    <t>Nákup ostatních služeb - příspěvek na stravování - sociální fond</t>
  </si>
  <si>
    <t>Poštovní služby</t>
  </si>
  <si>
    <t>Neinvestiční příspěvky zřízeným příspěvkovým organizacím: příspěvek MČ</t>
  </si>
  <si>
    <t>Opravy a udržování-běžné</t>
  </si>
  <si>
    <t xml:space="preserve">Odměny členů zastupitelstev vč. členů výborů a komisí </t>
  </si>
  <si>
    <t>Městská část Praha KUNRATICE</t>
  </si>
  <si>
    <t>Mateřské školy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</si>
  <si>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</si>
  <si>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</si>
  <si>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</si>
  <si>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</si>
  <si>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</si>
  <si>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</si>
  <si>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</si>
  <si>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</si>
  <si>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</si>
  <si>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Elektrická energie Golčova 28 a akce v Zámeckém parku</t>
  </si>
  <si>
    <t>Přijaté transfery celkem</t>
  </si>
  <si>
    <t>PŘÍJMY po konsolidaci-bez převodů z vlastních fondů a mezi HMP a MČ)</t>
  </si>
  <si>
    <t>Zachování a obnova kulturních památek-Zámecká zeď</t>
  </si>
  <si>
    <t>Činnost registrovaných církví a náboženských společností</t>
  </si>
  <si>
    <t>Ochrana půdy a podz. vod proti infiltraci (odlučovač parkoviště Šeberák)</t>
  </si>
  <si>
    <t>Opravy a udržování-opravy inventáře</t>
  </si>
  <si>
    <t>Převody vlastním rozpočtovým účtům:posílení ze soc.fondu</t>
  </si>
  <si>
    <t>Převody vlastním fondům a mezi HMP a MČ - konsolidace výdajů celkem (par. 6330)</t>
  </si>
  <si>
    <t>VÝDAJE po konsolidaci bez převodů vlastním fondům a mezi HMP a MČ</t>
  </si>
  <si>
    <t>VÝDAJE CELKEM vč. převodů vlastním fondům a mezi HMP a MČ</t>
  </si>
  <si>
    <t xml:space="preserve">Výdaje běžné </t>
  </si>
  <si>
    <t>OBJEM VÝDAJU celkem</t>
  </si>
  <si>
    <t>Zpracování dat a služby související s informačními technologiemi-servisní služby přenosu dat-systém svolávání a informování Fireport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</si>
  <si>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</si>
  <si>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</si>
  <si>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 xml:space="preserve">Elektrická energie-napájení čerpadla ze studny k přívodu vody do rybníka Ohrada </t>
  </si>
  <si>
    <t>Budovy, haly, stavby - Základní škola:</t>
  </si>
  <si>
    <t>Drobný hmotný dlouhodobý majetek-stacionární přístroj Linky tísňového volání</t>
  </si>
  <si>
    <t>Nákup ostatních služeb- drobné služby</t>
  </si>
  <si>
    <t>Požární ochrana dobrovolná část</t>
  </si>
  <si>
    <t>Platby daní a poplatků státnímu rozpočtu-dálniční známka</t>
  </si>
  <si>
    <t>OBJEM PŘÍJMU - ZDROJE celkem</t>
  </si>
  <si>
    <t>REKAPITULACE</t>
  </si>
  <si>
    <t>FINANCOVÁNÍ z úspor vlastních prostředků z předešlých let    (+) schodek, (-) přebytek</t>
  </si>
  <si>
    <t>Poskytnuté náhrady-roční poplatek Svazu MČ HMP</t>
  </si>
  <si>
    <t>Základní škola:</t>
  </si>
  <si>
    <t>ROZDÍL PŘÍJMU A VÝDAJU (-) schodek, (+) přebytek</t>
  </si>
  <si>
    <t>Plošné rekonstrukce komunikací Kunratice</t>
  </si>
  <si>
    <t xml:space="preserve">Opravy a udržování   </t>
  </si>
  <si>
    <t>Opravy a udržování (zázemí Zámeckého parku Golčova 28)</t>
  </si>
  <si>
    <t xml:space="preserve">Dary obyvatelstvu </t>
  </si>
  <si>
    <t>Služby elektronických komunikací-telefonní poplatky</t>
  </si>
  <si>
    <t>Místní knihovna</t>
  </si>
  <si>
    <t xml:space="preserve">Nákup ostatních služeb: zimní údržba komunikací vč. úklidu po zimní údržbě, strojní čištění </t>
  </si>
  <si>
    <t>Dary obyvatelstvu -příspěvek v případě účasti na Lince tísňového volání</t>
  </si>
  <si>
    <t xml:space="preserve"> Skutečnost Kč</t>
  </si>
  <si>
    <t>Převody z vlastních rezervních fondů-z fondu Domu s chráněnými byty</t>
  </si>
  <si>
    <t xml:space="preserve">Platby daní a poplatků krajům, obcím a st. fondům-správní poplatky </t>
  </si>
  <si>
    <t xml:space="preserve">Ostatní investiční výdaje silnice </t>
  </si>
  <si>
    <t>Nákup materiálu a doplňky k vybavení knihovny</t>
  </si>
  <si>
    <t>Nákup materiálu-spotřební materiál, náhradní díly, kusový nákup součástí dopravního značení (zrcadla, kužely, sloupky…)</t>
  </si>
  <si>
    <t>Neinvestiční transfery cizím příspěvkovým organizacím-zdravotnická zařízení</t>
  </si>
  <si>
    <t>Neinvestiční příspěvky zřízeným příspěvkovým organizacím: pravidelný roční příspěvek MČ</t>
  </si>
  <si>
    <t>Převody vlastní pokladně</t>
  </si>
  <si>
    <t>Ostatní příjmy z pronájmu majetku-pronájem hrobů</t>
  </si>
  <si>
    <t>Ostatní nákupy-účast v akci Do práce na kole</t>
  </si>
  <si>
    <t>Nákup ostatních služeb-odvoz odpadu hřbitov</t>
  </si>
  <si>
    <t>Nákup ostatních služeb-údržba zeleně hřbitov</t>
  </si>
  <si>
    <t>Služby peněžních ústavů - pojištění majetku</t>
  </si>
  <si>
    <t>Nákup ostatních služeb: STK, projekty k opravám, výběrové řízení k opravám, autorský dozor k opravám a jiné dodávky prací (vyjádření k sítím, provizorní DZ k akcím,nové DZ,  posudky a ostatní podklady ke stavu komunikací, projednávání..):</t>
  </si>
  <si>
    <t>Nákup ostatních služeb: Pořízení služeb k úklidu a drobné údržbě komunikací a přilehlých veřejných prostranství, odstraňování grafitti a následků vandalismu na majetku MČ a mobiliáři, šintování komunikací, podpora projektu Ukliďme Česko</t>
  </si>
  <si>
    <t>údržba dlažby chodníků (přeskládání zámkové dlažby)</t>
  </si>
  <si>
    <t>Opravy a udržování - opravy kanalizace</t>
  </si>
  <si>
    <t xml:space="preserve">Nákup ostatních služeb, objekt Golčova 24, drobné služby, revize </t>
  </si>
  <si>
    <t>Služby peněžních ústavů-bankovní poplatky</t>
  </si>
  <si>
    <t>Nákup materiálu-kronika, kulturní akce</t>
  </si>
  <si>
    <t>Nákup ostatních služeb - letní promítání filmů v Zámeckém parku</t>
  </si>
  <si>
    <t>Ostatní neinvestiční transfery podnikatelským subjektům-podpora plavání seniorů-dotace a.s. Jihoměstská sociální</t>
  </si>
  <si>
    <t xml:space="preserve">Plyn </t>
  </si>
  <si>
    <t>Elektrická energie-spořeba el-en. uliční vánoční výzdoba MČ</t>
  </si>
  <si>
    <t>Nákup ostatních služeb - čištění kanalizace</t>
  </si>
  <si>
    <t>Krizová opatření</t>
  </si>
  <si>
    <t xml:space="preserve">Investiční převody mezi statutátními městy a jejich MČ-investiční dotace </t>
  </si>
  <si>
    <t>VÝDAJE z převodů HM Praze (par. 6330 pol. 5347+pol. 6363) odvody</t>
  </si>
  <si>
    <t>Ochranné pomůcky-respirátory</t>
  </si>
  <si>
    <t>ZŠ OP PPR Rozvoj demokratické kultury na ZŠ Kunratice, podíl EU</t>
  </si>
  <si>
    <t>ZŠ OP PPR Rozvoj demokratické kultury na ZŠ Kunratice, podíl HMP</t>
  </si>
  <si>
    <t>Posílení rozpočtu soc. fondu-příjem sociálního fondu</t>
  </si>
  <si>
    <t>Převody z vlastních fondů-ze sociálního fondu</t>
  </si>
  <si>
    <t>PŘÍJMY z dotačního vztahu (pol. 4137 a 4251 par. 6330)</t>
  </si>
  <si>
    <t>Nákup materiálu-materiál na výměnu střešní krytiny u čp. 8 K Libuši</t>
  </si>
  <si>
    <t>Drobný hmotný dlouhodobý majetek (..stojany na kola, drobné ruční stroje)</t>
  </si>
  <si>
    <t>Služby peněžních ústavů - pojištění hasičů strojníků</t>
  </si>
  <si>
    <t xml:space="preserve">Nákup ostatních služeb </t>
  </si>
  <si>
    <t>Údržba vodního díla -rybník Ohrada (Kontrola stavu objektu rybníka Ohrada a odtokové části, čištění, opravy poškození po přívalovém dešti)</t>
  </si>
  <si>
    <t>Nákup ostatních služeb - ostraha, úklid, revize, STK, znal. posudky, geod. zaměření, pracovně lékařské služby, malování, mytí oken, výměna podlahových krytin, servis kašny, obnova certifikátů, ostatní běžné</t>
  </si>
  <si>
    <t>Ostatní sportovní činnost</t>
  </si>
  <si>
    <t>Ostatní činnost ve zdravotnictví</t>
  </si>
  <si>
    <t>IV. etapa - cyklotrasa A 213 Cyklotrasa Šeberov-Kunratický les-rekonstrukce, projektová dokumentace-ponechaná dotace HMP</t>
  </si>
  <si>
    <t>Dary obyvatelstvu-kulturní pěvecké vystoupení</t>
  </si>
  <si>
    <t>Nespecifikované rezervy vlastní zdroje</t>
  </si>
  <si>
    <t>Povinné pojistné na sociální zabezpečení a politiku zaměstnanosti</t>
  </si>
  <si>
    <t>Opravy a udržování - zámecká zeď a zámecký park</t>
  </si>
  <si>
    <t>Výstavba tělocvičny ZŠ Kunratice</t>
  </si>
  <si>
    <t xml:space="preserve">Domovy se zvláštním režimem - Dům s chráněnými byty </t>
  </si>
  <si>
    <t>Převody z vlastních rezervních fondů-z fondu Domu s chráněnými byty na provoz a akce DCHB</t>
  </si>
  <si>
    <t>Neinvestiční transfery spolkům</t>
  </si>
  <si>
    <t>Ing. Lenka Alinčová, starostka MČ Praha Kunratice</t>
  </si>
  <si>
    <t>ZŠ OP PPR Rozvoj demokrat. kultury na ZŠ Kunratice II, podíl HMP</t>
  </si>
  <si>
    <t>ZŠ OP PPR Rozvoj demokrat. kultury na ZŠ Kunratice II, podíl EU</t>
  </si>
  <si>
    <t xml:space="preserve">Neinvestiční transfery spolkům  </t>
  </si>
  <si>
    <t>Výstavba tělocvičny ZŠ Kunratice:</t>
  </si>
  <si>
    <t>Drobný hmotný dlouhodobý majetek - předměty do 40,0 tis. Kč</t>
  </si>
  <si>
    <t xml:space="preserve">Drobný hmotný dlouhodobý majetek </t>
  </si>
  <si>
    <t>Nákup ostatních služeb:</t>
  </si>
  <si>
    <t>akce pro obyvatele a drobné služby</t>
  </si>
  <si>
    <t>Drobný hmotný dlouhodobý majetek - notebooky</t>
  </si>
  <si>
    <t>Drobný hmotný dlouhodobý majetek- (např. mobiliář veřejného prostranství…)</t>
  </si>
  <si>
    <t>RS 2022</t>
  </si>
  <si>
    <t>RU 2022</t>
  </si>
  <si>
    <t>Příjem z poplatků ze psů</t>
  </si>
  <si>
    <t xml:space="preserve">Příjem z poplatků z pobytu </t>
  </si>
  <si>
    <t xml:space="preserve">Příjem z poplatku za užívání veřejného prostranství  </t>
  </si>
  <si>
    <t>Příjem z poplatku ze vstupného</t>
  </si>
  <si>
    <t xml:space="preserve">Příjem ze správních poplatků </t>
  </si>
  <si>
    <t>Příjem z daně z nemovitých věcí</t>
  </si>
  <si>
    <t>Příjmy z poskytování služeb a výrobků, prací, výkonů a práv - knihovna</t>
  </si>
  <si>
    <t>Příjmy z poskytování služeb a výrobků, prací, výkonů a práv -pohřebnictví</t>
  </si>
  <si>
    <t>Příjmy z poskytování služeb a výrobků, prací, výkonů a práv - místní správa-úhrada za poskytování informací dle zákona 106/1999 Sb.</t>
  </si>
  <si>
    <t>Příjem sankčních plateb přijatých od jiných osob - smluvní pokuty a pokuty z přestupků</t>
  </si>
  <si>
    <t>Ostatní přijaté vratky transferů-vratka Jihoměstská sociální- za nevyčerpané příspěvky na plavání seniorů v r. 2021</t>
  </si>
  <si>
    <t>Přijaté neinvestiční příspěvky a náhrady- přeplatky záloh, vypořádání záloh (Česká pošta aj.), náklady v přestupkovém řízení</t>
  </si>
  <si>
    <t>Ostatní převody z vlastních fondů-ze sociálního fondu</t>
  </si>
  <si>
    <r>
      <t>Neinvestiční převody mezi statutátními městy a jejich městskými obvody nebo částmi - transfer z HMP -</t>
    </r>
    <r>
      <rPr>
        <b/>
        <sz val="12"/>
        <rFont val="Arial CE"/>
        <charset val="238"/>
      </rPr>
      <t>souhrnný dotační vztah</t>
    </r>
  </si>
  <si>
    <r>
      <t>Neinvestiční převody mezi statutátními městy a jejich městskými obvody nebo částmi - transfer ze státního rozpočtu -</t>
    </r>
    <r>
      <rPr>
        <b/>
        <sz val="12"/>
        <rFont val="Arial CE"/>
        <charset val="238"/>
      </rPr>
      <t>souhrnný dotační vztah</t>
    </r>
  </si>
  <si>
    <t>Podíl na prostředcích obdržených jako výnos z daně z hazardních her a jako odvod z loterií</t>
  </si>
  <si>
    <r>
      <t xml:space="preserve">Investiční převody mezi statutátními městy a jejich městskými obvody nebo částmi - </t>
    </r>
    <r>
      <rPr>
        <b/>
        <sz val="12"/>
        <rFont val="Arial CE"/>
        <charset val="238"/>
      </rPr>
      <t>investiční dotace HMP:</t>
    </r>
  </si>
  <si>
    <t>Neinvestiční převody mezi statutátními městy a jejich MČ-transfer ze SR a HMP souhrnný dotační vztah a přijaté neinvestiční dotace</t>
  </si>
  <si>
    <t>Výstavba tělocvičny ZŠ Kunratice-dotace HMP 2022</t>
  </si>
  <si>
    <t>Stavby</t>
  </si>
  <si>
    <t>Stavby-vybudování studny při rybníku Ohrada k posílení přívodu vody do rybníka</t>
  </si>
  <si>
    <t>Stavby-ostatní stavby-přístřešky-oplocení míst na popelnice</t>
  </si>
  <si>
    <t xml:space="preserve">Stavby - PD rozšíření kolumbária vč. plného oplocení urnového háje </t>
  </si>
  <si>
    <t>Převody domněle neoprávněně použitých dotací zpět poskytovateli-v průběhu výstavby byly změněny podmínky dotace Přístavba a nástavba učeben v objektu ZŠ</t>
  </si>
  <si>
    <t>Prádlo, oděv a obuv s výjimkou ochranných pomůcek</t>
  </si>
  <si>
    <t>Elektrická energie - Napájení veřejného osvětlení v majetku MČ dle smlouvy s THMP do doby převodu na HMP</t>
  </si>
  <si>
    <t xml:space="preserve">III. etapa Rekonstrukce dalších ulic - dokumentace, poplatky, realizace vlastní zdroje </t>
  </si>
  <si>
    <t>Ponechané prostředky dotace HMP z roku 2021</t>
  </si>
  <si>
    <t xml:space="preserve">Nákup ostatních služeb - akce Divadlo v parku </t>
  </si>
  <si>
    <t xml:space="preserve">Nákup ostatních služeb - Babí léto v pohybu </t>
  </si>
  <si>
    <t xml:space="preserve">Ostatní neinvestiční transfery obyvatelstvu-kulturní akce-zájezdy pro seniory </t>
  </si>
  <si>
    <t>Výdaje na věcné dary-jubileum občana</t>
  </si>
  <si>
    <t>Výdaje na věcné dary (dárky ke Dni učitelů)</t>
  </si>
  <si>
    <t>Ostatní činnosti související se službami pro fyzické osoby</t>
  </si>
  <si>
    <t xml:space="preserve">Neinvestiční transfery spolkům -Rehabilitace Hornomlýnská </t>
  </si>
  <si>
    <t>Neinvestiční transfery spolkům:</t>
  </si>
  <si>
    <t>Neinvestiční transfery spolkům - PC klub pro hendikepované Křižovatka, z.s.</t>
  </si>
  <si>
    <t xml:space="preserve">výměna čerpadel u kotelny </t>
  </si>
  <si>
    <t>výměna izolace zadní terasy v posledním podlaží DCHB</t>
  </si>
  <si>
    <t>Výdaje na věcné dary-květiny apod. účinkujícím při kulturních pořadech</t>
  </si>
  <si>
    <t>Léky a zdravotnický materiál - AG testy</t>
  </si>
  <si>
    <t>Neinvestiční převody mezi statutátními městy a jejich městskými obvody nebo částmi-výdaje - odvod nedočerpané dotace na volby do PS PČR 2021</t>
  </si>
  <si>
    <t>Neinvestiční převody mezi statutátními městy a jejich městskými obvody nebo částmi-výdaje - odvod nečerpané dotace Asistence pro sčítací komisaře</t>
  </si>
  <si>
    <t>Knihy a obdobné listinné informační prostředky</t>
  </si>
  <si>
    <t>Knihy a obdobné listinné informační prostředky - vlastní zdroje</t>
  </si>
  <si>
    <t xml:space="preserve">                                                                                 - dotace HMP</t>
  </si>
  <si>
    <t>Pojistné na zákonné pojištění odpovědnosti zaměstnavatele za škodu při pracovním úrazu nebo nemoci z povolání</t>
  </si>
  <si>
    <t xml:space="preserve">Opravy a udržování - opravy radnice, ostatní běžné  </t>
  </si>
  <si>
    <t xml:space="preserve">Opravy a udržování - opravy obložení zárubní dveří 1. patra radnice </t>
  </si>
  <si>
    <t>Podlimitní programové vybavení</t>
  </si>
  <si>
    <t xml:space="preserve">Platby daní krajům, obcím a st. fondům-daň z příjmu 2021 z hlavní činnosti </t>
  </si>
  <si>
    <t>Náhrady mezd v době nemoci nebo karantény</t>
  </si>
  <si>
    <t>Ostatní neinvestiční transfery fyzickým osobám-sociální fond</t>
  </si>
  <si>
    <t>Ostatní neinvestiční transfery fyzickým osobám</t>
  </si>
  <si>
    <t>Neinvestiční transfery spolkům  -Kunratice žijou, z.s.</t>
  </si>
  <si>
    <t xml:space="preserve">Neinvestiční transfery spolkům -STP MO Flora </t>
  </si>
  <si>
    <t>Nákup ostatních služeb-výsadba nových stromů a provedení zdravotních řezů stávajících stromů - vlastní zdroje (žádost o ponechání nedočerpaných dotací roku 2021 "Strategie adaptace hl.m. Prahy na změnu klimatu")</t>
  </si>
  <si>
    <t>Odchodné (dle zákona 131/2000 Sb.)</t>
  </si>
  <si>
    <t>Léky a zdravotnický materiál - vybavení lékárniček</t>
  </si>
  <si>
    <t xml:space="preserve">Opravy a udržování  -dotace HMP </t>
  </si>
  <si>
    <t>Nákup materiálu - dotace HMP základní příspěvek</t>
  </si>
  <si>
    <t>Ochranné pomůcky - dotace HMP - zásahové oděvy…</t>
  </si>
  <si>
    <t>Pohonné hmoty a maziva  - dotace HMP základní příspěvek</t>
  </si>
  <si>
    <t>dotace HMP na mimořádné výdaje v souvislosti s poskytováním pomoci občanům Ukrajiny, kteří jsou na útěku před agresí Ruské federace</t>
  </si>
  <si>
    <t>Potraviny</t>
  </si>
  <si>
    <t>Léky a zdravotnický materiál</t>
  </si>
  <si>
    <t xml:space="preserve">Nákup materiálu </t>
  </si>
  <si>
    <t>Pohonné hmoy a maziva</t>
  </si>
  <si>
    <t>Humanitární zahraniční pomoc přímá-pomoc Ukrajině</t>
  </si>
  <si>
    <t>Neinvestiční převody mezi statutátními městy a jejich městskými obvody nebo částmi-výdaje - odvod nečerpané dotace Základní školy OP PPR</t>
  </si>
  <si>
    <t>Dary fyzickým osobám - výstavy, kulturní akce</t>
  </si>
  <si>
    <t xml:space="preserve">Ostatní neinv. transfery neziskovým apod. osobám  </t>
  </si>
  <si>
    <t xml:space="preserve">Ostatní neinv. transfery neziskovým apod. osobám - TJ Sokol Kunratice </t>
  </si>
  <si>
    <t>Nákup ostatních služeb-KZ, kulturní akce (Vítání jara…)</t>
  </si>
  <si>
    <t>ZŠ OP PPR Modernizace odb. učeben neinvest. podíl HMP</t>
  </si>
  <si>
    <t>ZŠ OP PPR Modernizace odb. učeben neinvest. podíl EU</t>
  </si>
  <si>
    <t>ZŠ OP PPR Modernizace odb. učeben invest. podíl HMP</t>
  </si>
  <si>
    <t>ZŠ OP PPR Modernizace odb. učeben invest. podíl EU</t>
  </si>
  <si>
    <t>Dotace z Operačního programu Praha-pól růstu OP PPR</t>
  </si>
  <si>
    <t>Dotace HMP- Výsadba a údržba stromů MČ Kunratice-projekt v rámci Strategie adaptace hl. m. Prahy na změnu klimatu</t>
  </si>
  <si>
    <t>Výsadba a údržba stromů MČ Kunratice-projekt Strategie adaptace na změnu klimatu</t>
  </si>
  <si>
    <t>Dotace HMP pro JSDH na činnost</t>
  </si>
  <si>
    <t>Posílení mzdových prostředků zaměstnanců MŠ a ZŠ Kunratice vč. podpory pracovníků ve stravování</t>
  </si>
  <si>
    <t>Dotace HMP - Posílení mzdových prostředků zaměstnanců MŠ Kunratice vč. podpory pracovníků ve stravování</t>
  </si>
  <si>
    <t>Dotace HMP - Posílení mzdových prostředků zaměstnanců ZŠ Kunratice vč. podpory pracovníků ve stravování</t>
  </si>
  <si>
    <t>dotace HMP na mimořádné výdaje v souvislosti s poskytováním pomoci občanům Ukrajiny, kteří jsou na útěku před agresí Ruské federace-výdaje v souvislosti se zajištěním lůžek a provozní výdaje JSDH</t>
  </si>
  <si>
    <t>dotace HMP na mimořádné výdaje v souvislosti s poskytováním pomoci občanům Ukrajiny, kteří jsou na útěku před agresí Ruské federace-dotace na zajištění dočasného nouzového ubytování-státní kompenzační příspěvek</t>
  </si>
  <si>
    <t>Nájemné</t>
  </si>
  <si>
    <t>Chodníkový program Kunratice</t>
  </si>
  <si>
    <t>Chodníkový program Kunratice - dotace HMP</t>
  </si>
  <si>
    <t>Neinvestiční transfery církvím a náb. společnostem (dotace hry)</t>
  </si>
  <si>
    <t>Opravy a udržování-Sanace suterénu budovy MŠ</t>
  </si>
  <si>
    <t>Podíl MČ na celkové daňové povinnosti HMP na dani z příimu za období roku 2021- vrácená daň z příjmu VHČ</t>
  </si>
  <si>
    <t xml:space="preserve">                                              posílení z fondu DCHB-provoz DCHB</t>
  </si>
  <si>
    <t>Neinvestiční převody mezi statutátními městy a jejich městskými obvody nebo částmi-výdaje - odvod dotace zkoušky odborné způsobilosti a místní poplatek</t>
  </si>
  <si>
    <t>Ostatní přijaté vratky transferů-vratka dotace OP PPR od Základní školy-podíl EU a HMP (2x372,5 a 2x1 731)</t>
  </si>
  <si>
    <t>Pomoc občanům Ukrajiny-stravné a školné dětí  UA (výdaje od 1.7.2022)</t>
  </si>
  <si>
    <t>ZŠ OP PPR Rozvoj demokrat. kultury na ZŠ Kunratice, podíl HMP</t>
  </si>
  <si>
    <t>ZŠ OP PPR Rozvoj demokrat. kultury na ZŠ Kunratice, podíl EU</t>
  </si>
  <si>
    <t>Neinvestiční transfery spolkům - z.s. Start98 Praha Kunratice</t>
  </si>
  <si>
    <t>Budovy, haly, stavby-pořízení herních prvků dětských hřišť a sestav na veřejná prostranství-skluzavka na DH Vimperské nám., stolní fotbálek u hřiště Ohrada, piknik sestavy stoly, lavice aj.</t>
  </si>
  <si>
    <t xml:space="preserve">Ostatní neinvestiční transfery neziskovým apod. osobám - SK Slovan Kunratice </t>
  </si>
  <si>
    <t xml:space="preserve">Opravy a udržování - stavební úpravy domu čp. 147 ul. Velenická </t>
  </si>
  <si>
    <t>Údržba zeleně v obci,výsadba stromů, údržba revitalizovaného území Zelené cesty</t>
  </si>
  <si>
    <t>Výsadba nových stromů a provedení zdravotních řezů stávajících stromů - ponechaná dotace roku 2021 "Strategie adaptace hl.m. Prahy na změnu klimatu" - "Výsadba stromů jaro 2022"</t>
  </si>
  <si>
    <t>Výsadba nových stromů a provedení zdravotních řezů stávajících stromů - "Strategie adaptace hl.m. Prahy na změnu klimatu" - "Výsadba stromů jaro 2022" -vlastní zdroje</t>
  </si>
  <si>
    <t xml:space="preserve">Nákup ostatních služeb - vlastní zdroje - ostraha, lékař. prohlídky, servis elektrocentrála, STK+emise Liaz, Scania  </t>
  </si>
  <si>
    <t>Prádlo, oděv, obuv s výjimkou ochranných pomůcek</t>
  </si>
  <si>
    <t>Dary fyzickým osobám</t>
  </si>
  <si>
    <t>Ostatní osobní výdaje-tlumočnícké služby</t>
  </si>
  <si>
    <t>Služby elektronických komunikací -internet pro výuku</t>
  </si>
  <si>
    <t>Neinvestiční příspěvky zřízeným příspěvkovým organizacím-stravné a školné dětí UA</t>
  </si>
  <si>
    <t xml:space="preserve">Ostatní nákupy jinde nezařazené </t>
  </si>
  <si>
    <t>Pojištění funkčně nespecifikované</t>
  </si>
  <si>
    <t>dotace HMP z titulu doplnění dodatečného finančního vztahu pro městské části v souvislosti s nárůstem cen</t>
  </si>
  <si>
    <t>Dotace MŠMT  ZŠ Adaptační skupiny pro děti cizince</t>
  </si>
  <si>
    <t>Převody z vlastních fondů podnikatelské činnosti-převod do fondu Domu s chráněnými byty</t>
  </si>
  <si>
    <t>Převod do fondu Domu s chráněnými byty-konsolidace</t>
  </si>
  <si>
    <t>Pomoc občanům Ukrajiny-potraviny-kempy (výdaje od 1.7.2022)</t>
  </si>
  <si>
    <t>Pomoc občanům Ukrajiny-knihy, materiál-kempy (výdaje od 1.7.2022)</t>
  </si>
  <si>
    <t>Pomoc občanům Ukrajiny-doprava, vstupy-kempy (výdaje od 1.7.2022)</t>
  </si>
  <si>
    <t>Ostatní přijaté vratky transferů-vratka dotace OP PPR od Mateřské školy Šablony II</t>
  </si>
  <si>
    <t>Neinvestiční převody mezi statutátními městy a jejich městskými obvody nebo částmi-výdaje - odvod nečerpané dotace Mateřské  školy OP VVV Šablony II</t>
  </si>
  <si>
    <r>
      <t xml:space="preserve">Neinvestiční převody mezi statutátními městy a jejich MČ - </t>
    </r>
    <r>
      <rPr>
        <b/>
        <sz val="12"/>
        <rFont val="Arial CE"/>
        <charset val="238"/>
      </rPr>
      <t>neinvestiční dotace:</t>
    </r>
  </si>
  <si>
    <t>Dotace HMP Realizace opatření pro pražské domácnosti ohrožené inflací</t>
  </si>
  <si>
    <t>Ostatní osobní výdaje-odměny komisím, distribuce vol. lístků</t>
  </si>
  <si>
    <t>Služby elektronických komunikací</t>
  </si>
  <si>
    <t xml:space="preserve">Nájemné </t>
  </si>
  <si>
    <t>Převody z vlastních fondů podnikatelské činnosti-část nerozděleného zisku VHČ - posílení rozpočtu</t>
  </si>
  <si>
    <t>Posílení rozpočtu sociálního fondu-příjem sociálního fondu</t>
  </si>
  <si>
    <t>Nájemné (kupř. umístění výstražného zařízení na sloupech veř. osvětlení, nájem dopravního značení a j.)</t>
  </si>
  <si>
    <t>Nespecifikované rezervy-Pomoc pražským domácnostem ohroženým inflací v roce 2022</t>
  </si>
  <si>
    <t>Opravy a udržování - opravy sportovní haly Základní školy-výměna osvětlení, výměna povrchu podlahy haly</t>
  </si>
  <si>
    <t xml:space="preserve">Výdaje na věcné dary - knihy pro prvňáčky (knihy pořízené v roce 2017, 300 ks, jsou spotřebovány, dárky ke Dni učitelů)  </t>
  </si>
  <si>
    <t>Výdaje na věcné dary (dárky účastníkům akcí, květiny, nákup mincí pro vítání občánků)</t>
  </si>
  <si>
    <t>Nespecifikované rezervy - ponechaná dotace HMP</t>
  </si>
  <si>
    <t>Ostatní osobní výdaje vlastní zdroje-zvýšené výdaje na distribuci dle směrnice MF</t>
  </si>
  <si>
    <t xml:space="preserve">Pomoc pražským domácnostem ohroženým inflací v roce 2022-realizace opatření pro pražské domácnosti-Fond solidarity </t>
  </si>
  <si>
    <t xml:space="preserve">Neinvestiční příspěvky zřízeným příspěvkovým organizacím: zvýšení  příspěvku MČ na pokrytí zvýšených výdajů na spotřebu plynu </t>
  </si>
  <si>
    <t>Nákup ostatních služeb-vlastní zdroje-zvýšené výdaje služeb</t>
  </si>
  <si>
    <t>Budovy, haly, stavby-projektová dokumentace - Úprava zázemí fotbalového stadionu SK Slovan Kunratice (správní poplatky, návrh úprav studní)</t>
  </si>
  <si>
    <t>Drobný hmotný dlouhodobý majetek - dotace HMP základní příspěvek (termokamera)</t>
  </si>
  <si>
    <t>Investiční převody mezi statutátními městy a jejich městskými obvody nebo částmi-výdaje - odvod nečerpané dotace Rekonstrukce služebny MP</t>
  </si>
  <si>
    <t>Volby do zastupitelstev ÚSC - ZHMP, ZMČ - Dotace MF 212,0 tis., vlastní zdroje 28,0 tis. Kč</t>
  </si>
  <si>
    <t xml:space="preserve">opravy vytápění a ohřevu vody, opravy rozvaděčů v bytech, výměna světla a čidel, výměna elektroměru, běžné opravy </t>
  </si>
  <si>
    <t>11/2022</t>
  </si>
  <si>
    <t xml:space="preserve">Nákup materiálu  (podlahová krytina,ostatní drobný...) </t>
  </si>
  <si>
    <t>terénní úpravy - revitalizace zahrady DCHB-dokumentace a sadové úpravy, výsadba zeleně</t>
  </si>
  <si>
    <t>akce "Chodníkový program Kunratice 2019" dokumentace, poplatky, realizace-vlastní zdroje</t>
  </si>
  <si>
    <t>Nákup ostatních služeb-dotace HMP- servis a revize dých. techniky</t>
  </si>
  <si>
    <t>Návrh 2023</t>
  </si>
  <si>
    <t>NÁVRH ROZPOČTU 2023 a PLNĚNÍ PŘÍJMU A ČERPÁNÍ VYDAJU ROZPOČTU 2022</t>
  </si>
  <si>
    <t>ROZPOČET 2023 a PLNĚNÍ PŘÍJMU A ČERPÁNÍ VYDAJU ROZPOĆTU 2022</t>
  </si>
  <si>
    <t>Dotace MF na úhradu výdajů na volby do 1/3 Senátu, ZHMP, ZMČ</t>
  </si>
  <si>
    <t>Návrh vyvěšen na úřední desku dne 2.12.2022</t>
  </si>
  <si>
    <t>Platby daní státnímu rozpočtu-návrhy na vklad do katastru nem., event. soudní poplatky</t>
  </si>
  <si>
    <t>Polimitní programové vybavení-r. 2022 SW notebooky, 2023 Antivirus notebooky</t>
  </si>
  <si>
    <t>Nákup ostatních služeb: Doprovodné úpravy značení na místních komunikacích, pořízení součástí dopravního příslušenství - (r. 2022 Realizace dopravního opatření na mostku u rybníka Šeberák)</t>
  </si>
  <si>
    <t>2022 Nákup ostatních služeb celkem: rozpočet 2 350,0 tis. Kč, rozpočet upravený 2 150,0 tis. Kč, skutečnost 959 760,26 Kč</t>
  </si>
  <si>
    <t xml:space="preserve">2022 Opravy a udržování celkem: rozpočet 1 000,0 tis. Kč, skutečnost 682 030,75 Kč                                                                                                                                                                                                                                                </t>
  </si>
  <si>
    <t>Opravy a udržování: opravy výtluků (r. 2022 ul. K Verneráku a Úhlavská)</t>
  </si>
  <si>
    <t>ostatní opravy komunikací (r. 2022 oprava hráze Verneráku aj.)</t>
  </si>
  <si>
    <t>III. etapa Rekonstrukce dalších ulic - dokumentace, poplatky, realizace -r. 2022 ponechaná dotace HMP, r. 2023 žádost o ponechání dotace</t>
  </si>
  <si>
    <t>IV. etapa - cyklotrasa A 213 pořízení projektové dokumentace-vlastní zdroje (r. 2023 žádost o ponechání dotace)</t>
  </si>
  <si>
    <t xml:space="preserve">ostatní opravy-techniky, výměna a opravy svislého dopravního značení a příslušenství, obnova vodorovného dopravního značení  </t>
  </si>
  <si>
    <t>obnova chodníku od ul. Pod Javory po ul. K Betáni, oprava chodníku při ul. Za Parkem</t>
  </si>
  <si>
    <t>2023 Opravy a udržování celkem 2 050,0 tis. Kč</t>
  </si>
  <si>
    <t>2023 Nákup ostatních služeb celkem 2 350,0 tis. Kč</t>
  </si>
  <si>
    <t>Stavby - r. 2022 Sanace suterénu budovy MŠ-realizována oprava</t>
  </si>
  <si>
    <t>Nákup ostatních služeb-přezkoumání hospodaření a ost. služby-r. 2022 kontrola elektroinstalace po havárii-protečení , administrace veřejné zakázky Výměna povrchu haly ZŠ</t>
  </si>
  <si>
    <t>Vlastní zdroje - do doby schválení převodu dotace HMP</t>
  </si>
  <si>
    <t>Neinvestiční transfery ústavům a obecně prospěšným společnostem -Základní umělecká škola</t>
  </si>
  <si>
    <t xml:space="preserve">Neinvestiční transfery spolkům (rozp. upravený-mimo z.s.Start98) Tenis Golf Club Kunratice, spolek, 4Students </t>
  </si>
  <si>
    <t>Neinvestiční transfery cizm příspěvkovým organizacím-r. 2022 Dům dětí a mládeže Praha 10-turnaj Kunratický koš</t>
  </si>
  <si>
    <t>Neinvestiční transfery fundacím, ústavům a obecně prospěšným společnostem - r. 2022 Polovina nebe, o.p.s.</t>
  </si>
  <si>
    <t>Neinvestiční transfery fundacím, ústavům a obecně prospěšným společnostem - r. 2022 Tři, zdravotní ústav- příspěvek na provoz Hospice Dobrého Pastýře)</t>
  </si>
  <si>
    <t xml:space="preserve">Opravy a udržování-opravy polyfunkčních hřišť - r. 2022 malé fotbalové hřiště Zelené údolí  </t>
  </si>
  <si>
    <t>Nákup ostatních služeb-revize hřišť, informační tabule aj.</t>
  </si>
  <si>
    <t>Ostatní neinv. transfery neziskovým apod. osobám - r. 2022 Junák</t>
  </si>
  <si>
    <t>Opravy a udržování-opravy ostatní hřiště - r. 2022 opravy prvků DH K Betáni, Turgeněvova, Jana Růžičky, Zel. údolí dolní…</t>
  </si>
  <si>
    <t>Revize hřišť a ostatní drobné služby (r. 2023 v par. 3421)</t>
  </si>
  <si>
    <t xml:space="preserve">Nákup ostatních služeb: očíslování míst urnového háje, ostatní služby </t>
  </si>
  <si>
    <t xml:space="preserve">Opravy a udržování - úprava chodníčků, oprava hřbitovní zdi a ostatní drobné opravy </t>
  </si>
  <si>
    <t>Výkup nemovitosti na pozemku MČ</t>
  </si>
  <si>
    <t>Neinvestiční transfery fundacím, ústavům a obecně prospěšným společnostem - r. 2022 Žít spolu, o.p.s.</t>
  </si>
  <si>
    <t>Sociální pomoc osobám v hmotné nouzi</t>
  </si>
  <si>
    <t>Neinvestiční transfery fundacím, ústavům a obecně prospěšným společnostem - r. 2022 Národní ústav pro autismus</t>
  </si>
  <si>
    <t>Stavby - 2022 Dům s chráněnými byty-nádrže na dešťovou vodu a revitalizace okolí-vlastní zdroje - doplatek za monitoring akce z roku 2021-Zpráva o udržitelnosti a inženýrská činnost zpracovatele PD</t>
  </si>
  <si>
    <t xml:space="preserve">revize, mytí oken, střihání živých plotů, seč trávy, ostatní služby (r. 2022 čištění svítidel, dokumentace pro výměnu oken) </t>
  </si>
  <si>
    <t>Opravy a udržování-běžné opravy</t>
  </si>
  <si>
    <t>Stavby - 2023 Výměna oken objektu domu s chráněnými byty</t>
  </si>
  <si>
    <t>Stroje, přístroje, zařízení- vlastní zdroje-přívěsný vozík</t>
  </si>
  <si>
    <t>Stavby-Rekonstrukce hasičské zbrojnice-Dostavba garáže hasičské zbrojnice - vlastní zdroje</t>
  </si>
  <si>
    <t xml:space="preserve">Opravy a udržování  - vlastní zdroje - běžné opravy (r. 2022 m.j. oprava a servis kompresoru a motoru Mercury)  </t>
  </si>
  <si>
    <t>Opravy a udržování - výměna kotle</t>
  </si>
  <si>
    <t xml:space="preserve">Neinvestiční transfery spolkům - r. 2022 Český svaz chovatelů 10,0tis., Záchranná brigáda kynologů 20,0 tis. </t>
  </si>
  <si>
    <t xml:space="preserve">Služby školení a vzdělávání </t>
  </si>
  <si>
    <t>Poskytnuté náhrady-r. 2022 2x sociální pohřeb, členský příspěvek Sdružení tajemníků MOÚ, z.s. (např. svědecká výpověď přestupky, náhrada výdajů útulku pro zvířata)</t>
  </si>
  <si>
    <t>Konzultační, poradenské a právní služby pro MČ (2022 energetická studie budov MČ 107 690,0 Kč)</t>
  </si>
  <si>
    <t xml:space="preserve">Platby daní krajům, obcím a st. fondům-správní poplatky-např. stavebnímu úřadu, katastrálnímu úřadu ověřování.. </t>
  </si>
  <si>
    <t>OBJEM VÝDAJU vč. převodů mezi HMP a MČ odvody fin. vypořádání</t>
  </si>
  <si>
    <t>Nákup ostatních služeb-drobné služby (r. 2022 PRE - připojení el.en. pro akce v Zámeckém parku, zřízení odběrného místa Velenická)</t>
  </si>
  <si>
    <t>2023 Neinvestiční část - provozní výdaje celkem rozpočet 950,0 tis. Kč</t>
  </si>
  <si>
    <r>
      <t xml:space="preserve">2022 Neinvestiční část - provozní výdaje celkem rozpočet       1 022,5 tis., skutečnost 704 208,79 Kč </t>
    </r>
    <r>
      <rPr>
        <b/>
        <sz val="12"/>
        <color theme="4" tint="-0.249977111117893"/>
        <rFont val="Arial CE"/>
        <charset val="238"/>
      </rPr>
      <t xml:space="preserve">(vlastní zdroje rozp 665,0 tis., skut. 508 708,79 Kč, dotace HMP rozp. 357,5 tis. Kč, skut. 195 500,00 Kč) </t>
    </r>
  </si>
  <si>
    <t xml:space="preserve">2022 Opravy a udržování -havarijní oprava stropu a podlahy po protečení přívalovou srážkovou vodou </t>
  </si>
  <si>
    <t xml:space="preserve">Stavby-PD opatření na vyvedení dešťových vod budovy radnice do nádrže  </t>
  </si>
  <si>
    <t>Stavby-PD zateplení budovy HZ, umístění FVE na střechu budovy</t>
  </si>
  <si>
    <t>Neinvestiční transfery neziskovým apod. organizacím</t>
  </si>
  <si>
    <t>Stavby - r. 2023 Dokumentace na zateplení vnějšího pláště budovy, výměnu oken, kotlů  (výstavbu FVE na střechu), realizace výměny kotlů</t>
  </si>
  <si>
    <t>Příloha č. 1</t>
  </si>
  <si>
    <t xml:space="preserve">
Rozpočet MČ Praha Kunratice na rok 2023 zahrnuje vysoký podíl investičních výdajů zejména na výstavbu tělocvičny základní školy, sportovní areál a další projekty. Rozdíl mezi příjmy a výdaji je vyrovnán úsporami prostředků z hospodaření minulých let 32 492,0 tis. Kč. Do rozpočtu je zapojeno 9 000,0 tis. Kč z fondu Domu s chráněnými byty, který je vytvářen z hospodářského výsledku hospodářské činnosti MČ pro potřebu úprav objektu a akcí pro nájemníky. MČ nemá uzavřenu žádnou úvěrovou smlouvu ani do budoucna o úvěru neuvažuje.     </t>
  </si>
  <si>
    <t>Rozpočet roku 2023 byl schválen usnesením Zastupitelstva MČ Praha Kunratice č. 2.8 dne 19.12.2022</t>
  </si>
  <si>
    <t>Návrh byl zveřejněn na elektronické úřední desce www. praha-kunratice.cz dne 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</si>
</sst>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5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sz val="12"/>
      <color rgb="FFFF0000"/>
      <name val="Arial CE"/>
      <charset val="238"/>
    </font>
    <font>
      <sz val="11"/>
      <color rgb="FFFF0000"/>
      <name val="Arial CE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u/>
      <sz val="10"/>
      <color theme="10"/>
      <name val="Arial CE"/>
      <charset val="238"/>
    </font>
    <font>
      <b/>
      <u/>
      <sz val="10"/>
      <name val="Arial CE"/>
      <charset val="238"/>
    </font>
    <font>
      <u/>
      <sz val="10"/>
      <name val="Arial CE"/>
      <charset val="238"/>
    </font>
    <font>
      <u/>
      <sz val="12"/>
      <color rgb="FFFF0000"/>
      <name val="Arial CE"/>
      <charset val="238"/>
    </font>
    <font>
      <u/>
      <sz val="10"/>
      <color rgb="FFFF0000"/>
      <name val="Arial CE"/>
      <charset val="238"/>
    </font>
    <font>
      <sz val="12"/>
      <color rgb="FF00B050"/>
      <name val="Arial CE"/>
      <charset val="238"/>
    </font>
    <font>
      <sz val="12"/>
      <color rgb="FF0070C0"/>
      <name val="Arial CE"/>
      <charset val="238"/>
    </font>
    <font>
      <b/>
      <sz val="12"/>
      <color theme="4" tint="-0.249977111117893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29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4" fontId="0" fillId="0" borderId="0" xfId="0" applyNumberFormat="1" applyBorder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ill="1"/>
    <xf numFmtId="0" fontId="10" fillId="0" borderId="6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4" fontId="9" fillId="0" borderId="0" xfId="0" applyNumberFormat="1" applyFont="1"/>
    <xf numFmtId="0" fontId="10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wrapText="1"/>
    </xf>
    <xf numFmtId="4" fontId="2" fillId="2" borderId="18" xfId="0" applyNumberFormat="1" applyFont="1" applyFill="1" applyBorder="1"/>
    <xf numFmtId="0" fontId="10" fillId="0" borderId="21" xfId="0" applyFont="1" applyBorder="1" applyAlignment="1">
      <alignment horizontal="center"/>
    </xf>
    <xf numFmtId="0" fontId="10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4" fontId="2" fillId="2" borderId="15" xfId="0" applyNumberFormat="1" applyFont="1" applyFill="1" applyBorder="1" applyAlignment="1">
      <alignment wrapText="1"/>
    </xf>
    <xf numFmtId="0" fontId="10" fillId="3" borderId="14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4" fontId="2" fillId="3" borderId="18" xfId="0" applyNumberFormat="1" applyFont="1" applyFill="1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20" xfId="0" applyFont="1" applyFill="1" applyBorder="1" applyAlignment="1">
      <alignment wrapText="1"/>
    </xf>
    <xf numFmtId="4" fontId="10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4" fontId="12" fillId="0" borderId="0" xfId="0" applyNumberFormat="1" applyFont="1"/>
    <xf numFmtId="4" fontId="2" fillId="0" borderId="0" xfId="0" applyNumberFormat="1" applyFont="1" applyAlignment="1">
      <alignment wrapText="1"/>
    </xf>
    <xf numFmtId="0" fontId="10" fillId="0" borderId="23" xfId="0" applyFont="1" applyBorder="1" applyAlignment="1">
      <alignment horizontal="center"/>
    </xf>
    <xf numFmtId="0" fontId="2" fillId="0" borderId="23" xfId="0" applyFont="1" applyBorder="1" applyAlignment="1">
      <alignment wrapText="1"/>
    </xf>
    <xf numFmtId="4" fontId="9" fillId="0" borderId="23" xfId="0" applyNumberFormat="1" applyFont="1" applyBorder="1"/>
    <xf numFmtId="0" fontId="10" fillId="0" borderId="17" xfId="0" applyFont="1" applyBorder="1" applyAlignment="1">
      <alignment horizontal="center"/>
    </xf>
    <xf numFmtId="4" fontId="4" fillId="0" borderId="0" xfId="0" applyNumberFormat="1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10" fillId="2" borderId="20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6" xfId="0" applyFont="1" applyBorder="1" applyAlignment="1">
      <alignment wrapText="1"/>
    </xf>
    <xf numFmtId="0" fontId="10" fillId="0" borderId="29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25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9" fillId="0" borderId="28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9" fillId="0" borderId="27" xfId="0" applyFont="1" applyBorder="1" applyAlignment="1">
      <alignment wrapText="1"/>
    </xf>
    <xf numFmtId="0" fontId="10" fillId="0" borderId="27" xfId="0" applyFont="1" applyBorder="1" applyAlignment="1">
      <alignment horizontal="center" wrapText="1"/>
    </xf>
    <xf numFmtId="0" fontId="11" fillId="0" borderId="27" xfId="0" applyFont="1" applyBorder="1" applyAlignment="1">
      <alignment wrapText="1"/>
    </xf>
    <xf numFmtId="0" fontId="2" fillId="0" borderId="27" xfId="0" applyFont="1" applyFill="1" applyBorder="1" applyAlignment="1">
      <alignment wrapText="1"/>
    </xf>
    <xf numFmtId="4" fontId="2" fillId="6" borderId="31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wrapText="1"/>
    </xf>
    <xf numFmtId="0" fontId="10" fillId="0" borderId="25" xfId="0" applyFont="1" applyBorder="1" applyAlignment="1">
      <alignment wrapText="1"/>
    </xf>
    <xf numFmtId="0" fontId="10" fillId="0" borderId="27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164" fontId="2" fillId="0" borderId="1" xfId="0" applyNumberFormat="1" applyFont="1" applyBorder="1"/>
    <xf numFmtId="0" fontId="9" fillId="8" borderId="28" xfId="0" applyFont="1" applyFill="1" applyBorder="1" applyAlignment="1">
      <alignment wrapText="1"/>
    </xf>
    <xf numFmtId="4" fontId="0" fillId="0" borderId="0" xfId="0" applyNumberFormat="1" applyFont="1" applyAlignment="1">
      <alignment horizontal="center"/>
    </xf>
    <xf numFmtId="0" fontId="9" fillId="9" borderId="0" xfId="0" applyFont="1" applyFill="1" applyAlignment="1">
      <alignment wrapText="1"/>
    </xf>
    <xf numFmtId="0" fontId="9" fillId="0" borderId="17" xfId="0" applyFont="1" applyBorder="1" applyAlignment="1">
      <alignment wrapText="1"/>
    </xf>
    <xf numFmtId="4" fontId="5" fillId="0" borderId="17" xfId="0" applyNumberFormat="1" applyFont="1" applyBorder="1"/>
    <xf numFmtId="164" fontId="10" fillId="0" borderId="1" xfId="0" applyNumberFormat="1" applyFont="1" applyBorder="1"/>
    <xf numFmtId="164" fontId="9" fillId="0" borderId="1" xfId="0" applyNumberFormat="1" applyFont="1" applyBorder="1"/>
    <xf numFmtId="4" fontId="10" fillId="0" borderId="15" xfId="0" applyNumberFormat="1" applyFont="1" applyBorder="1" applyAlignment="1">
      <alignment wrapText="1"/>
    </xf>
    <xf numFmtId="4" fontId="2" fillId="2" borderId="18" xfId="0" applyNumberFormat="1" applyFont="1" applyFill="1" applyBorder="1" applyAlignment="1">
      <alignment wrapText="1"/>
    </xf>
    <xf numFmtId="4" fontId="3" fillId="0" borderId="0" xfId="0" applyNumberFormat="1" applyFont="1"/>
    <xf numFmtId="0" fontId="2" fillId="3" borderId="18" xfId="0" applyFont="1" applyFill="1" applyBorder="1" applyAlignment="1">
      <alignment wrapText="1"/>
    </xf>
    <xf numFmtId="0" fontId="0" fillId="0" borderId="0" xfId="0" applyFont="1" applyBorder="1"/>
    <xf numFmtId="0" fontId="10" fillId="10" borderId="28" xfId="0" applyFont="1" applyFill="1" applyBorder="1" applyAlignment="1">
      <alignment wrapText="1"/>
    </xf>
    <xf numFmtId="0" fontId="10" fillId="0" borderId="20" xfId="0" applyFont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2" fillId="0" borderId="23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4" fontId="2" fillId="0" borderId="17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5" borderId="20" xfId="0" applyFont="1" applyFill="1" applyBorder="1" applyAlignment="1">
      <alignment wrapText="1"/>
    </xf>
    <xf numFmtId="0" fontId="10" fillId="0" borderId="26" xfId="0" applyFont="1" applyBorder="1"/>
    <xf numFmtId="164" fontId="10" fillId="0" borderId="0" xfId="0" applyNumberFormat="1" applyFont="1" applyBorder="1"/>
    <xf numFmtId="164" fontId="10" fillId="0" borderId="0" xfId="0" applyNumberFormat="1" applyFont="1" applyBorder="1" applyAlignment="1">
      <alignment horizontal="center" wrapText="1"/>
    </xf>
    <xf numFmtId="164" fontId="2" fillId="2" borderId="15" xfId="0" applyNumberFormat="1" applyFont="1" applyFill="1" applyBorder="1"/>
    <xf numFmtId="164" fontId="9" fillId="0" borderId="13" xfId="0" applyNumberFormat="1" applyFont="1" applyBorder="1"/>
    <xf numFmtId="164" fontId="2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4" fontId="14" fillId="0" borderId="0" xfId="0" applyNumberFormat="1" applyFont="1" applyAlignment="1">
      <alignment horizontal="left" vertical="top" wrapText="1"/>
    </xf>
    <xf numFmtId="4" fontId="10" fillId="0" borderId="0" xfId="0" applyNumberFormat="1" applyFont="1" applyBorder="1"/>
    <xf numFmtId="164" fontId="2" fillId="2" borderId="3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6" xfId="0" applyFont="1" applyBorder="1" applyAlignment="1">
      <alignment wrapText="1"/>
    </xf>
    <xf numFmtId="164" fontId="2" fillId="2" borderId="4" xfId="0" applyNumberFormat="1" applyFont="1" applyFill="1" applyBorder="1" applyAlignment="1">
      <alignment horizontal="center"/>
    </xf>
    <xf numFmtId="164" fontId="10" fillId="0" borderId="5" xfId="0" applyNumberFormat="1" applyFont="1" applyBorder="1"/>
    <xf numFmtId="164" fontId="10" fillId="0" borderId="0" xfId="0" applyNumberFormat="1" applyFont="1"/>
    <xf numFmtId="164" fontId="2" fillId="3" borderId="18" xfId="0" applyNumberFormat="1" applyFont="1" applyFill="1" applyBorder="1"/>
    <xf numFmtId="164" fontId="2" fillId="3" borderId="15" xfId="0" applyNumberFormat="1" applyFont="1" applyFill="1" applyBorder="1"/>
    <xf numFmtId="164" fontId="2" fillId="0" borderId="23" xfId="0" applyNumberFormat="1" applyFont="1" applyBorder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wrapText="1"/>
    </xf>
    <xf numFmtId="164" fontId="2" fillId="2" borderId="31" xfId="0" applyNumberFormat="1" applyFont="1" applyFill="1" applyBorder="1"/>
    <xf numFmtId="164" fontId="2" fillId="0" borderId="17" xfId="0" applyNumberFormat="1" applyFont="1" applyFill="1" applyBorder="1"/>
    <xf numFmtId="164" fontId="2" fillId="3" borderId="32" xfId="0" applyNumberFormat="1" applyFont="1" applyFill="1" applyBorder="1"/>
    <xf numFmtId="164" fontId="12" fillId="0" borderId="0" xfId="0" applyNumberFormat="1" applyFont="1" applyAlignment="1">
      <alignment wrapText="1"/>
    </xf>
    <xf numFmtId="164" fontId="0" fillId="0" borderId="0" xfId="0" applyNumberFormat="1"/>
    <xf numFmtId="4" fontId="2" fillId="0" borderId="23" xfId="0" applyNumberFormat="1" applyFont="1" applyFill="1" applyBorder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38" xfId="0" applyFont="1" applyBorder="1" applyAlignment="1">
      <alignment wrapText="1"/>
    </xf>
    <xf numFmtId="0" fontId="10" fillId="10" borderId="26" xfId="0" applyFont="1" applyFill="1" applyBorder="1" applyAlignment="1">
      <alignment wrapText="1"/>
    </xf>
    <xf numFmtId="0" fontId="10" fillId="10" borderId="26" xfId="0" applyFont="1" applyFill="1" applyBorder="1" applyAlignment="1">
      <alignment horizontal="left" wrapText="1"/>
    </xf>
    <xf numFmtId="0" fontId="11" fillId="0" borderId="26" xfId="0" applyFont="1" applyBorder="1" applyAlignment="1">
      <alignment wrapText="1"/>
    </xf>
    <xf numFmtId="0" fontId="10" fillId="10" borderId="26" xfId="0" applyFont="1" applyFill="1" applyBorder="1" applyAlignment="1">
      <alignment vertical="top" wrapText="1"/>
    </xf>
    <xf numFmtId="164" fontId="8" fillId="3" borderId="0" xfId="0" applyNumberFormat="1" applyFont="1" applyFill="1" applyAlignment="1">
      <alignment horizontal="center"/>
    </xf>
    <xf numFmtId="164" fontId="10" fillId="0" borderId="21" xfId="0" applyNumberFormat="1" applyFont="1" applyBorder="1"/>
    <xf numFmtId="164" fontId="2" fillId="2" borderId="19" xfId="0" applyNumberFormat="1" applyFont="1" applyFill="1" applyBorder="1"/>
    <xf numFmtId="164" fontId="10" fillId="9" borderId="0" xfId="0" applyNumberFormat="1" applyFont="1" applyFill="1"/>
    <xf numFmtId="164" fontId="2" fillId="0" borderId="23" xfId="0" applyNumberFormat="1" applyFont="1" applyFill="1" applyBorder="1"/>
    <xf numFmtId="164" fontId="10" fillId="0" borderId="17" xfId="0" applyNumberFormat="1" applyFont="1" applyBorder="1"/>
    <xf numFmtId="164" fontId="15" fillId="0" borderId="0" xfId="0" applyNumberFormat="1" applyFont="1" applyAlignment="1">
      <alignment horizontal="left" vertical="top"/>
    </xf>
    <xf numFmtId="164" fontId="1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9" fillId="0" borderId="0" xfId="1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20" fillId="0" borderId="0" xfId="0" applyNumberFormat="1" applyFont="1" applyAlignment="1">
      <alignment horizontal="center"/>
    </xf>
    <xf numFmtId="0" fontId="10" fillId="0" borderId="26" xfId="0" applyFont="1" applyBorder="1" applyAlignment="1">
      <alignment horizontal="left" wrapText="1"/>
    </xf>
    <xf numFmtId="0" fontId="10" fillId="0" borderId="26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164" fontId="10" fillId="0" borderId="0" xfId="0" applyNumberFormat="1" applyFont="1" applyFill="1" applyBorder="1"/>
    <xf numFmtId="164" fontId="2" fillId="0" borderId="0" xfId="0" applyNumberFormat="1" applyFont="1"/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164" fontId="2" fillId="6" borderId="5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6" borderId="1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2" fillId="0" borderId="1" xfId="0" applyFont="1" applyBorder="1" applyAlignment="1"/>
    <xf numFmtId="0" fontId="10" fillId="2" borderId="37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wrapText="1"/>
    </xf>
    <xf numFmtId="164" fontId="2" fillId="2" borderId="13" xfId="0" applyNumberFormat="1" applyFont="1" applyFill="1" applyBorder="1"/>
    <xf numFmtId="4" fontId="6" fillId="0" borderId="0" xfId="0" applyNumberFormat="1" applyFont="1" applyFill="1" applyBorder="1"/>
    <xf numFmtId="0" fontId="10" fillId="0" borderId="5" xfId="0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37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13" xfId="0" applyFont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164" fontId="2" fillId="4" borderId="15" xfId="0" applyNumberFormat="1" applyFont="1" applyFill="1" applyBorder="1"/>
    <xf numFmtId="4" fontId="10" fillId="0" borderId="17" xfId="0" applyNumberFormat="1" applyFont="1" applyBorder="1"/>
    <xf numFmtId="4" fontId="10" fillId="0" borderId="18" xfId="0" applyNumberFormat="1" applyFont="1" applyBorder="1" applyAlignment="1">
      <alignment wrapText="1"/>
    </xf>
    <xf numFmtId="49" fontId="2" fillId="6" borderId="2" xfId="0" applyNumberFormat="1" applyFont="1" applyFill="1" applyBorder="1" applyAlignment="1">
      <alignment horizontal="center"/>
    </xf>
    <xf numFmtId="164" fontId="13" fillId="0" borderId="1" xfId="0" applyNumberFormat="1" applyFont="1" applyBorder="1"/>
    <xf numFmtId="164" fontId="10" fillId="10" borderId="1" xfId="0" applyNumberFormat="1" applyFont="1" applyFill="1" applyBorder="1"/>
    <xf numFmtId="4" fontId="10" fillId="10" borderId="1" xfId="0" applyNumberFormat="1" applyFont="1" applyFill="1" applyBorder="1"/>
    <xf numFmtId="164" fontId="10" fillId="0" borderId="1" xfId="0" applyNumberFormat="1" applyFont="1" applyFill="1" applyBorder="1"/>
    <xf numFmtId="164" fontId="10" fillId="9" borderId="1" xfId="0" applyNumberFormat="1" applyFont="1" applyFill="1" applyBorder="1"/>
    <xf numFmtId="0" fontId="10" fillId="0" borderId="17" xfId="0" applyFont="1" applyBorder="1" applyAlignment="1">
      <alignment wrapText="1"/>
    </xf>
    <xf numFmtId="164" fontId="10" fillId="0" borderId="22" xfId="0" applyNumberFormat="1" applyFont="1" applyBorder="1"/>
    <xf numFmtId="164" fontId="10" fillId="0" borderId="39" xfId="0" applyNumberFormat="1" applyFont="1" applyBorder="1" applyAlignment="1">
      <alignment wrapText="1"/>
    </xf>
    <xf numFmtId="4" fontId="2" fillId="2" borderId="31" xfId="0" applyNumberFormat="1" applyFont="1" applyFill="1" applyBorder="1"/>
    <xf numFmtId="4" fontId="2" fillId="3" borderId="32" xfId="0" applyNumberFormat="1" applyFont="1" applyFill="1" applyBorder="1"/>
    <xf numFmtId="4" fontId="22" fillId="0" borderId="0" xfId="0" applyNumberFormat="1" applyFont="1"/>
    <xf numFmtId="164" fontId="10" fillId="0" borderId="24" xfId="0" applyNumberFormat="1" applyFont="1" applyBorder="1"/>
    <xf numFmtId="164" fontId="10" fillId="0" borderId="42" xfId="0" applyNumberFormat="1" applyFont="1" applyBorder="1"/>
    <xf numFmtId="164" fontId="10" fillId="0" borderId="30" xfId="0" applyNumberFormat="1" applyFont="1" applyBorder="1"/>
    <xf numFmtId="0" fontId="23" fillId="0" borderId="7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0" borderId="26" xfId="0" applyFont="1" applyBorder="1" applyAlignment="1">
      <alignment wrapText="1"/>
    </xf>
    <xf numFmtId="0" fontId="9" fillId="0" borderId="27" xfId="0" applyFont="1" applyFill="1" applyBorder="1" applyAlignment="1">
      <alignment wrapText="1"/>
    </xf>
    <xf numFmtId="164" fontId="0" fillId="0" borderId="0" xfId="0" applyNumberFormat="1" applyFont="1"/>
    <xf numFmtId="0" fontId="10" fillId="0" borderId="42" xfId="0" applyFont="1" applyBorder="1" applyAlignment="1">
      <alignment wrapText="1"/>
    </xf>
    <xf numFmtId="164" fontId="23" fillId="0" borderId="42" xfId="0" applyNumberFormat="1" applyFont="1" applyBorder="1"/>
    <xf numFmtId="164" fontId="23" fillId="0" borderId="30" xfId="0" applyNumberFormat="1" applyFont="1" applyBorder="1"/>
    <xf numFmtId="4" fontId="14" fillId="0" borderId="0" xfId="0" applyNumberFormat="1" applyFont="1" applyAlignment="1">
      <alignment horizontal="left" vertical="top" wrapText="1"/>
    </xf>
    <xf numFmtId="4" fontId="16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center"/>
    </xf>
    <xf numFmtId="4" fontId="10" fillId="9" borderId="0" xfId="0" applyNumberFormat="1" applyFont="1" applyFill="1"/>
    <xf numFmtId="0" fontId="2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" fontId="2" fillId="2" borderId="15" xfId="0" applyNumberFormat="1" applyFont="1" applyFill="1" applyBorder="1"/>
    <xf numFmtId="4" fontId="2" fillId="2" borderId="43" xfId="0" applyNumberFormat="1" applyFont="1" applyFill="1" applyBorder="1"/>
    <xf numFmtId="4" fontId="10" fillId="0" borderId="44" xfId="0" applyNumberFormat="1" applyFont="1" applyBorder="1"/>
    <xf numFmtId="4" fontId="10" fillId="0" borderId="27" xfId="0" applyNumberFormat="1" applyFont="1" applyBorder="1"/>
    <xf numFmtId="4" fontId="9" fillId="0" borderId="43" xfId="0" applyNumberFormat="1" applyFont="1" applyBorder="1"/>
    <xf numFmtId="4" fontId="10" fillId="0" borderId="45" xfId="0" applyNumberFormat="1" applyFont="1" applyBorder="1"/>
    <xf numFmtId="4" fontId="10" fillId="0" borderId="41" xfId="0" applyNumberFormat="1" applyFont="1" applyBorder="1"/>
    <xf numFmtId="4" fontId="9" fillId="0" borderId="46" xfId="0" applyNumberFormat="1" applyFont="1" applyBorder="1"/>
    <xf numFmtId="4" fontId="10" fillId="0" borderId="6" xfId="0" applyNumberFormat="1" applyFont="1" applyBorder="1"/>
    <xf numFmtId="4" fontId="9" fillId="0" borderId="37" xfId="0" applyNumberFormat="1" applyFont="1" applyBorder="1"/>
    <xf numFmtId="4" fontId="2" fillId="6" borderId="44" xfId="0" applyNumberFormat="1" applyFont="1" applyFill="1" applyBorder="1" applyAlignment="1">
      <alignment horizontal="center"/>
    </xf>
    <xf numFmtId="49" fontId="2" fillId="6" borderId="27" xfId="0" applyNumberFormat="1" applyFont="1" applyFill="1" applyBorder="1" applyAlignment="1">
      <alignment horizontal="center"/>
    </xf>
    <xf numFmtId="4" fontId="6" fillId="0" borderId="27" xfId="0" applyNumberFormat="1" applyFont="1" applyFill="1" applyBorder="1" applyAlignment="1">
      <alignment horizontal="center"/>
    </xf>
    <xf numFmtId="4" fontId="2" fillId="0" borderId="27" xfId="0" applyNumberFormat="1" applyFont="1" applyBorder="1"/>
    <xf numFmtId="4" fontId="5" fillId="0" borderId="27" xfId="0" applyNumberFormat="1" applyFont="1" applyBorder="1"/>
    <xf numFmtId="4" fontId="9" fillId="0" borderId="27" xfId="0" applyNumberFormat="1" applyFont="1" applyBorder="1"/>
    <xf numFmtId="164" fontId="2" fillId="6" borderId="45" xfId="0" applyNumberFormat="1" applyFont="1" applyFill="1" applyBorder="1" applyAlignment="1">
      <alignment horizontal="center"/>
    </xf>
    <xf numFmtId="164" fontId="2" fillId="6" borderId="41" xfId="0" applyNumberFormat="1" applyFont="1" applyFill="1" applyBorder="1" applyAlignment="1">
      <alignment horizontal="center"/>
    </xf>
    <xf numFmtId="164" fontId="6" fillId="0" borderId="41" xfId="0" applyNumberFormat="1" applyFont="1" applyFill="1" applyBorder="1" applyAlignment="1">
      <alignment horizontal="center"/>
    </xf>
    <xf numFmtId="4" fontId="9" fillId="0" borderId="41" xfId="0" applyNumberFormat="1" applyFont="1" applyBorder="1"/>
    <xf numFmtId="4" fontId="2" fillId="0" borderId="41" xfId="0" applyNumberFormat="1" applyFont="1" applyBorder="1"/>
    <xf numFmtId="4" fontId="10" fillId="0" borderId="47" xfId="0" applyNumberFormat="1" applyFont="1" applyBorder="1"/>
    <xf numFmtId="4" fontId="2" fillId="2" borderId="46" xfId="0" applyNumberFormat="1" applyFont="1" applyFill="1" applyBorder="1"/>
    <xf numFmtId="164" fontId="2" fillId="6" borderId="11" xfId="0" applyNumberFormat="1" applyFont="1" applyFill="1" applyBorder="1" applyAlignment="1">
      <alignment horizontal="center"/>
    </xf>
    <xf numFmtId="164" fontId="2" fillId="6" borderId="6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" fontId="9" fillId="0" borderId="6" xfId="0" applyNumberFormat="1" applyFont="1" applyBorder="1"/>
    <xf numFmtId="4" fontId="2" fillId="0" borderId="6" xfId="0" applyNumberFormat="1" applyFont="1" applyBorder="1"/>
    <xf numFmtId="4" fontId="10" fillId="0" borderId="48" xfId="0" applyNumberFormat="1" applyFont="1" applyBorder="1"/>
    <xf numFmtId="164" fontId="10" fillId="0" borderId="6" xfId="0" applyNumberFormat="1" applyFont="1" applyBorder="1"/>
    <xf numFmtId="164" fontId="10" fillId="0" borderId="11" xfId="0" applyNumberFormat="1" applyFont="1" applyBorder="1"/>
    <xf numFmtId="164" fontId="2" fillId="2" borderId="20" xfId="0" applyNumberFormat="1" applyFont="1" applyFill="1" applyBorder="1"/>
    <xf numFmtId="4" fontId="2" fillId="4" borderId="18" xfId="0" applyNumberFormat="1" applyFont="1" applyFill="1" applyBorder="1"/>
    <xf numFmtId="164" fontId="2" fillId="4" borderId="20" xfId="0" applyNumberFormat="1" applyFont="1" applyFill="1" applyBorder="1"/>
    <xf numFmtId="164" fontId="2" fillId="4" borderId="19" xfId="0" applyNumberFormat="1" applyFont="1" applyFill="1" applyBorder="1"/>
    <xf numFmtId="164" fontId="2" fillId="2" borderId="37" xfId="0" applyNumberFormat="1" applyFont="1" applyFill="1" applyBorder="1"/>
    <xf numFmtId="0" fontId="8" fillId="0" borderId="0" xfId="0" applyFont="1" applyFill="1" applyAlignment="1">
      <alignment horizontal="center"/>
    </xf>
    <xf numFmtId="4" fontId="10" fillId="10" borderId="27" xfId="0" applyNumberFormat="1" applyFont="1" applyFill="1" applyBorder="1"/>
    <xf numFmtId="0" fontId="0" fillId="0" borderId="0" xfId="0" applyFont="1" applyAlignment="1">
      <alignment horizontal="center"/>
    </xf>
    <xf numFmtId="164" fontId="8" fillId="7" borderId="0" xfId="0" applyNumberFormat="1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2" fillId="6" borderId="31" xfId="0" applyNumberFormat="1" applyFont="1" applyFill="1" applyBorder="1" applyAlignment="1">
      <alignment horizontal="center"/>
    </xf>
    <xf numFmtId="164" fontId="2" fillId="6" borderId="32" xfId="0" applyNumberFormat="1" applyFont="1" applyFill="1" applyBorder="1" applyAlignment="1">
      <alignment horizontal="center"/>
    </xf>
    <xf numFmtId="164" fontId="2" fillId="6" borderId="36" xfId="0" applyNumberFormat="1" applyFont="1" applyFill="1" applyBorder="1" applyAlignment="1">
      <alignment horizontal="center"/>
    </xf>
    <xf numFmtId="164" fontId="10" fillId="0" borderId="33" xfId="0" applyNumberFormat="1" applyFont="1" applyBorder="1"/>
    <xf numFmtId="164" fontId="10" fillId="0" borderId="40" xfId="0" applyNumberFormat="1" applyFont="1" applyBorder="1"/>
    <xf numFmtId="164" fontId="10" fillId="0" borderId="27" xfId="0" applyNumberFormat="1" applyFont="1" applyBorder="1"/>
    <xf numFmtId="164" fontId="10" fillId="0" borderId="12" xfId="0" applyNumberFormat="1" applyFont="1" applyBorder="1"/>
    <xf numFmtId="164" fontId="10" fillId="10" borderId="12" xfId="0" applyNumberFormat="1" applyFont="1" applyFill="1" applyBorder="1"/>
    <xf numFmtId="164" fontId="9" fillId="0" borderId="27" xfId="0" applyNumberFormat="1" applyFont="1" applyBorder="1"/>
    <xf numFmtId="164" fontId="9" fillId="0" borderId="12" xfId="0" applyNumberFormat="1" applyFont="1" applyBorder="1"/>
    <xf numFmtId="164" fontId="10" fillId="0" borderId="25" xfId="0" applyNumberFormat="1" applyFont="1" applyBorder="1"/>
    <xf numFmtId="164" fontId="10" fillId="0" borderId="35" xfId="0" applyNumberFormat="1" applyFont="1" applyBorder="1"/>
    <xf numFmtId="164" fontId="10" fillId="0" borderId="36" xfId="0" applyNumberFormat="1" applyFont="1" applyBorder="1" applyAlignment="1">
      <alignment wrapText="1"/>
    </xf>
    <xf numFmtId="164" fontId="2" fillId="3" borderId="19" xfId="0" applyNumberFormat="1" applyFont="1" applyFill="1" applyBorder="1"/>
    <xf numFmtId="164" fontId="10" fillId="0" borderId="23" xfId="0" applyNumberFormat="1" applyFont="1" applyBorder="1"/>
    <xf numFmtId="164" fontId="10" fillId="0" borderId="34" xfId="0" applyNumberFormat="1" applyFont="1" applyBorder="1"/>
    <xf numFmtId="164" fontId="12" fillId="0" borderId="0" xfId="0" applyNumberFormat="1" applyFont="1" applyBorder="1"/>
    <xf numFmtId="164" fontId="2" fillId="6" borderId="50" xfId="0" applyNumberFormat="1" applyFont="1" applyFill="1" applyBorder="1" applyAlignment="1">
      <alignment horizontal="center"/>
    </xf>
    <xf numFmtId="164" fontId="2" fillId="3" borderId="20" xfId="0" applyNumberFormat="1" applyFont="1" applyFill="1" applyBorder="1"/>
    <xf numFmtId="4" fontId="10" fillId="0" borderId="32" xfId="0" applyNumberFormat="1" applyFont="1" applyBorder="1" applyAlignment="1">
      <alignment wrapText="1"/>
    </xf>
    <xf numFmtId="164" fontId="10" fillId="0" borderId="20" xfId="0" applyNumberFormat="1" applyFont="1" applyBorder="1" applyAlignment="1">
      <alignment wrapText="1"/>
    </xf>
    <xf numFmtId="4" fontId="10" fillId="0" borderId="28" xfId="0" applyNumberFormat="1" applyFont="1" applyBorder="1"/>
    <xf numFmtId="4" fontId="13" fillId="0" borderId="27" xfId="0" applyNumberFormat="1" applyFont="1" applyBorder="1"/>
    <xf numFmtId="4" fontId="10" fillId="0" borderId="26" xfId="0" applyNumberFormat="1" applyFont="1" applyBorder="1"/>
    <xf numFmtId="4" fontId="10" fillId="0" borderId="25" xfId="0" applyNumberFormat="1" applyFont="1" applyBorder="1"/>
    <xf numFmtId="4" fontId="23" fillId="0" borderId="26" xfId="0" applyNumberFormat="1" applyFont="1" applyBorder="1"/>
    <xf numFmtId="4" fontId="10" fillId="0" borderId="49" xfId="0" applyNumberFormat="1" applyFont="1" applyBorder="1"/>
    <xf numFmtId="164" fontId="10" fillId="0" borderId="7" xfId="0" applyNumberFormat="1" applyFont="1" applyBorder="1"/>
    <xf numFmtId="164" fontId="10" fillId="10" borderId="6" xfId="0" applyNumberFormat="1" applyFont="1" applyFill="1" applyBorder="1"/>
    <xf numFmtId="164" fontId="9" fillId="0" borderId="6" xfId="0" applyNumberFormat="1" applyFont="1" applyBorder="1"/>
    <xf numFmtId="164" fontId="2" fillId="0" borderId="6" xfId="0" applyNumberFormat="1" applyFont="1" applyBorder="1"/>
    <xf numFmtId="164" fontId="10" fillId="0" borderId="37" xfId="0" applyNumberFormat="1" applyFont="1" applyBorder="1"/>
    <xf numFmtId="0" fontId="9" fillId="8" borderId="26" xfId="0" applyFont="1" applyFill="1" applyBorder="1" applyAlignment="1">
      <alignment wrapText="1"/>
    </xf>
    <xf numFmtId="0" fontId="9" fillId="8" borderId="28" xfId="0" applyFont="1" applyFill="1" applyBorder="1" applyAlignment="1">
      <alignment horizontal="left" wrapText="1"/>
    </xf>
    <xf numFmtId="164" fontId="10" fillId="0" borderId="6" xfId="0" applyNumberFormat="1" applyFont="1" applyFill="1" applyBorder="1"/>
    <xf numFmtId="164" fontId="10" fillId="0" borderId="12" xfId="0" applyNumberFormat="1" applyFont="1" applyFill="1" applyBorder="1"/>
    <xf numFmtId="0" fontId="10" fillId="10" borderId="26" xfId="0" applyFont="1" applyFill="1" applyBorder="1" applyAlignment="1">
      <alignment horizontal="center" wrapText="1"/>
    </xf>
    <xf numFmtId="164" fontId="10" fillId="10" borderId="24" xfId="0" applyNumberFormat="1" applyFont="1" applyFill="1" applyBorder="1"/>
    <xf numFmtId="4" fontId="10" fillId="10" borderId="25" xfId="0" applyNumberFormat="1" applyFont="1" applyFill="1" applyBorder="1"/>
    <xf numFmtId="164" fontId="10" fillId="10" borderId="41" xfId="0" applyNumberFormat="1" applyFont="1" applyFill="1" applyBorder="1"/>
    <xf numFmtId="0" fontId="7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5" fillId="0" borderId="23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104775</xdr:colOff>
      <xdr:row>2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24FD877-3078-49C4-8111-E20A0662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5524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38101</xdr:rowOff>
    </xdr:from>
    <xdr:to>
      <xdr:col>1</xdr:col>
      <xdr:colOff>84773</xdr:colOff>
      <xdr:row>2</xdr:row>
      <xdr:rowOff>152401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B95E5AE1-73B6-459C-AF91-CF00B2D6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38101"/>
          <a:ext cx="513398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71913</xdr:colOff>
      <xdr:row>0</xdr:row>
      <xdr:rowOff>0</xdr:rowOff>
    </xdr:from>
    <xdr:to>
      <xdr:col>1</xdr:col>
      <xdr:colOff>4286</xdr:colOff>
      <xdr:row>2</xdr:row>
      <xdr:rowOff>145790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7C0FDE7F-822F-4399-A6DC-D4844F80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" y="0"/>
          <a:ext cx="515536" cy="6123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31091</xdr:colOff>
      <xdr:row>0</xdr:row>
      <xdr:rowOff>-29337</xdr:rowOff>
    </xdr:from>
    <xdr:ext cx="564738" cy="645414"/>
    <xdr:pic>
      <xdr:nvPicPr>
        <xdr:cNvPr id="4" name="Picture 1">
          <a:extLst>
            <a:ext uri="{FF2B5EF4-FFF2-40B4-BE49-F238E27FC236}">
              <a16:creationId xmlns:a16="http://schemas.microsoft.com/office/drawing/2014/main" xmlns="" id="{CFEB0AD1-8B0F-429C-9010-6DAC20B5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91" y="-29337"/>
          <a:ext cx="564738" cy="6454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topLeftCell="A79" workbookViewId="0">
      <selection activeCell="E105" sqref="E105"/>
    </sheetView>
  </sheetViews>
  <sheetFormatPr defaultRowHeight="15" x14ac:dyDescent="0.2"/>
  <cols>
    <col min="1" max="1" width="8.5703125" style="165" customWidth="1"/>
    <col min="2" max="2" width="9.5703125" style="165" customWidth="1"/>
    <col min="3" max="3" width="70.28515625" style="16" customWidth="1"/>
    <col min="4" max="4" width="16" style="122" customWidth="1"/>
    <col min="5" max="5" width="14.5703125" style="122" customWidth="1"/>
    <col min="6" max="6" width="17.28515625" style="2" customWidth="1"/>
    <col min="7" max="7" width="15.140625" style="140" customWidth="1"/>
    <col min="8" max="8" width="15.42578125" style="4" customWidth="1"/>
    <col min="9" max="9" width="15.5703125" style="58" customWidth="1"/>
    <col min="10" max="11" width="9.140625" style="58"/>
  </cols>
  <sheetData>
    <row r="1" spans="1:11" ht="18" x14ac:dyDescent="0.25">
      <c r="A1" s="320" t="s">
        <v>69</v>
      </c>
      <c r="B1" s="320"/>
      <c r="C1" s="320"/>
      <c r="D1" s="320"/>
      <c r="E1" s="320"/>
      <c r="F1" s="320"/>
      <c r="G1" s="320"/>
      <c r="H1" s="233"/>
      <c r="I1" s="272"/>
    </row>
    <row r="2" spans="1:11" ht="21" customHeight="1" x14ac:dyDescent="0.25">
      <c r="A2" s="321" t="s">
        <v>332</v>
      </c>
      <c r="B2" s="321"/>
      <c r="C2" s="321"/>
      <c r="D2" s="321"/>
      <c r="E2" s="321"/>
      <c r="F2" s="321"/>
      <c r="G2" s="321"/>
      <c r="H2" s="234" t="s">
        <v>390</v>
      </c>
      <c r="I2" s="272"/>
    </row>
    <row r="3" spans="1:11" ht="18" customHeight="1" x14ac:dyDescent="0.25">
      <c r="A3" s="232"/>
      <c r="B3" s="320"/>
      <c r="C3" s="320"/>
      <c r="D3" s="320"/>
      <c r="E3" s="320"/>
      <c r="F3" s="320"/>
      <c r="G3" s="150"/>
      <c r="H3" s="235"/>
      <c r="I3" s="272"/>
    </row>
    <row r="4" spans="1:11" ht="15.75" thickBot="1" x14ac:dyDescent="0.25">
      <c r="A4" s="17"/>
      <c r="B4" s="17"/>
      <c r="C4" s="18"/>
      <c r="D4" s="118"/>
      <c r="E4" s="118"/>
    </row>
    <row r="5" spans="1:11" ht="15.75" x14ac:dyDescent="0.25">
      <c r="A5" s="168" t="s">
        <v>1</v>
      </c>
      <c r="B5" s="169" t="s">
        <v>0</v>
      </c>
      <c r="C5" s="170" t="s">
        <v>28</v>
      </c>
      <c r="D5" s="171" t="s">
        <v>179</v>
      </c>
      <c r="E5" s="171" t="s">
        <v>180</v>
      </c>
      <c r="F5" s="246" t="s">
        <v>116</v>
      </c>
      <c r="G5" s="259" t="s">
        <v>331</v>
      </c>
      <c r="H5" s="252" t="s">
        <v>331</v>
      </c>
    </row>
    <row r="6" spans="1:11" ht="15.75" x14ac:dyDescent="0.25">
      <c r="A6" s="172"/>
      <c r="B6" s="173"/>
      <c r="C6" s="174" t="s">
        <v>29</v>
      </c>
      <c r="D6" s="175" t="s">
        <v>3</v>
      </c>
      <c r="E6" s="175" t="s">
        <v>3</v>
      </c>
      <c r="F6" s="247" t="s">
        <v>326</v>
      </c>
      <c r="G6" s="260" t="s">
        <v>3</v>
      </c>
      <c r="H6" s="253" t="s">
        <v>3</v>
      </c>
    </row>
    <row r="7" spans="1:11" s="11" customFormat="1" ht="15.75" x14ac:dyDescent="0.25">
      <c r="A7" s="176"/>
      <c r="B7" s="177"/>
      <c r="C7" s="178" t="s">
        <v>71</v>
      </c>
      <c r="D7" s="179"/>
      <c r="E7" s="180"/>
      <c r="F7" s="248"/>
      <c r="G7" s="261"/>
      <c r="H7" s="254"/>
      <c r="I7" s="59"/>
      <c r="J7" s="59"/>
      <c r="K7" s="59"/>
    </row>
    <row r="8" spans="1:11" x14ac:dyDescent="0.2">
      <c r="A8" s="12">
        <v>1341</v>
      </c>
      <c r="B8" s="14"/>
      <c r="C8" s="181" t="s">
        <v>181</v>
      </c>
      <c r="D8" s="95">
        <v>185</v>
      </c>
      <c r="E8" s="95">
        <v>185</v>
      </c>
      <c r="F8" s="239">
        <v>184186.5</v>
      </c>
      <c r="G8" s="265">
        <v>185</v>
      </c>
      <c r="H8" s="242"/>
    </row>
    <row r="9" spans="1:11" x14ac:dyDescent="0.2">
      <c r="A9" s="12">
        <v>1342</v>
      </c>
      <c r="B9" s="14"/>
      <c r="C9" s="181" t="s">
        <v>182</v>
      </c>
      <c r="D9" s="95">
        <v>180</v>
      </c>
      <c r="E9" s="95">
        <v>180</v>
      </c>
      <c r="F9" s="239">
        <v>701577</v>
      </c>
      <c r="G9" s="265">
        <v>400</v>
      </c>
      <c r="H9" s="242"/>
    </row>
    <row r="10" spans="1:11" x14ac:dyDescent="0.2">
      <c r="A10" s="12">
        <v>1343</v>
      </c>
      <c r="B10" s="14"/>
      <c r="C10" s="181" t="s">
        <v>183</v>
      </c>
      <c r="D10" s="95">
        <v>250</v>
      </c>
      <c r="E10" s="95">
        <v>250</v>
      </c>
      <c r="F10" s="239">
        <v>960310</v>
      </c>
      <c r="G10" s="265">
        <v>450</v>
      </c>
      <c r="H10" s="242"/>
    </row>
    <row r="11" spans="1:11" x14ac:dyDescent="0.2">
      <c r="A11" s="12">
        <v>1344</v>
      </c>
      <c r="B11" s="14"/>
      <c r="C11" s="181" t="s">
        <v>184</v>
      </c>
      <c r="D11" s="95">
        <v>20</v>
      </c>
      <c r="E11" s="95">
        <v>20</v>
      </c>
      <c r="F11" s="239">
        <v>0</v>
      </c>
      <c r="G11" s="265">
        <v>20</v>
      </c>
      <c r="H11" s="242"/>
    </row>
    <row r="12" spans="1:11" x14ac:dyDescent="0.2">
      <c r="A12" s="12">
        <v>1361</v>
      </c>
      <c r="B12" s="14"/>
      <c r="C12" s="181" t="s">
        <v>185</v>
      </c>
      <c r="D12" s="95">
        <v>100</v>
      </c>
      <c r="E12" s="95">
        <v>100</v>
      </c>
      <c r="F12" s="239">
        <v>76140</v>
      </c>
      <c r="G12" s="265">
        <v>100</v>
      </c>
      <c r="H12" s="242"/>
    </row>
    <row r="13" spans="1:11" x14ac:dyDescent="0.2">
      <c r="A13" s="12">
        <v>1511</v>
      </c>
      <c r="B13" s="14"/>
      <c r="C13" s="181" t="s">
        <v>186</v>
      </c>
      <c r="D13" s="95">
        <v>16000</v>
      </c>
      <c r="E13" s="95">
        <v>16000</v>
      </c>
      <c r="F13" s="239">
        <v>14876291.439999999</v>
      </c>
      <c r="G13" s="265">
        <v>16000</v>
      </c>
      <c r="H13" s="242"/>
    </row>
    <row r="14" spans="1:11" s="6" customFormat="1" ht="15.75" x14ac:dyDescent="0.25">
      <c r="A14" s="12"/>
      <c r="B14" s="14"/>
      <c r="C14" s="182" t="s">
        <v>72</v>
      </c>
      <c r="D14" s="89">
        <f>SUM(D8:D13)</f>
        <v>16735</v>
      </c>
      <c r="E14" s="89">
        <f t="shared" ref="E14:F14" si="0">SUM(E8:E13)</f>
        <v>16735</v>
      </c>
      <c r="F14" s="249">
        <f t="shared" si="0"/>
        <v>16798504.939999998</v>
      </c>
      <c r="G14" s="262">
        <f>SUM(G8:G13)</f>
        <v>17155</v>
      </c>
      <c r="H14" s="255">
        <f>G14</f>
        <v>17155</v>
      </c>
      <c r="I14" s="57"/>
      <c r="J14" s="57"/>
      <c r="K14" s="57"/>
    </row>
    <row r="15" spans="1:11" x14ac:dyDescent="0.2">
      <c r="A15" s="12"/>
      <c r="B15" s="14"/>
      <c r="C15" s="181"/>
      <c r="D15" s="95"/>
      <c r="E15" s="95"/>
      <c r="F15" s="250"/>
      <c r="G15" s="244"/>
      <c r="H15" s="242"/>
    </row>
    <row r="16" spans="1:11" ht="15.75" x14ac:dyDescent="0.25">
      <c r="A16" s="12"/>
      <c r="B16" s="14"/>
      <c r="C16" s="182" t="s">
        <v>73</v>
      </c>
      <c r="D16" s="95"/>
      <c r="E16" s="95"/>
      <c r="F16" s="250"/>
      <c r="G16" s="244"/>
      <c r="H16" s="242"/>
    </row>
    <row r="17" spans="1:11" ht="30" x14ac:dyDescent="0.2">
      <c r="A17" s="12">
        <v>2111</v>
      </c>
      <c r="B17" s="14">
        <v>3314</v>
      </c>
      <c r="C17" s="181" t="s">
        <v>187</v>
      </c>
      <c r="D17" s="95">
        <v>10</v>
      </c>
      <c r="E17" s="95">
        <v>10</v>
      </c>
      <c r="F17" s="239">
        <v>13100</v>
      </c>
      <c r="G17" s="265">
        <v>12</v>
      </c>
      <c r="H17" s="242"/>
    </row>
    <row r="18" spans="1:11" ht="30" x14ac:dyDescent="0.2">
      <c r="A18" s="12">
        <v>2111</v>
      </c>
      <c r="B18" s="14">
        <v>3632</v>
      </c>
      <c r="C18" s="181" t="s">
        <v>188</v>
      </c>
      <c r="D18" s="95">
        <v>18</v>
      </c>
      <c r="E18" s="95">
        <v>18</v>
      </c>
      <c r="F18" s="239">
        <v>15600</v>
      </c>
      <c r="G18" s="265">
        <v>18</v>
      </c>
      <c r="H18" s="242"/>
    </row>
    <row r="19" spans="1:11" ht="30" x14ac:dyDescent="0.2">
      <c r="A19" s="12">
        <v>2111</v>
      </c>
      <c r="B19" s="14">
        <v>6171</v>
      </c>
      <c r="C19" s="181" t="s">
        <v>189</v>
      </c>
      <c r="D19" s="95">
        <v>2</v>
      </c>
      <c r="E19" s="95">
        <v>2</v>
      </c>
      <c r="F19" s="239">
        <v>0</v>
      </c>
      <c r="G19" s="265">
        <v>2</v>
      </c>
      <c r="H19" s="242"/>
    </row>
    <row r="20" spans="1:11" x14ac:dyDescent="0.2">
      <c r="A20" s="12">
        <v>2112</v>
      </c>
      <c r="B20" s="14">
        <v>3319</v>
      </c>
      <c r="C20" s="181" t="s">
        <v>58</v>
      </c>
      <c r="D20" s="95">
        <v>2.2999999999999998</v>
      </c>
      <c r="E20" s="95">
        <v>2.2999999999999998</v>
      </c>
      <c r="F20" s="239">
        <v>897</v>
      </c>
      <c r="G20" s="265">
        <v>2</v>
      </c>
      <c r="H20" s="242"/>
    </row>
    <row r="21" spans="1:11" x14ac:dyDescent="0.2">
      <c r="A21" s="12">
        <v>2139</v>
      </c>
      <c r="B21" s="14">
        <v>3632</v>
      </c>
      <c r="C21" s="181" t="s">
        <v>125</v>
      </c>
      <c r="D21" s="95">
        <v>450</v>
      </c>
      <c r="E21" s="95">
        <v>450</v>
      </c>
      <c r="F21" s="239">
        <v>571003</v>
      </c>
      <c r="G21" s="265">
        <v>450</v>
      </c>
      <c r="H21" s="242"/>
    </row>
    <row r="22" spans="1:11" x14ac:dyDescent="0.2">
      <c r="A22" s="12">
        <v>2141</v>
      </c>
      <c r="B22" s="14">
        <v>6310</v>
      </c>
      <c r="C22" s="181" t="s">
        <v>30</v>
      </c>
      <c r="D22" s="95">
        <f>(37*6)+(17*6)</f>
        <v>324</v>
      </c>
      <c r="E22" s="95">
        <v>324</v>
      </c>
      <c r="F22" s="239">
        <v>435242.56</v>
      </c>
      <c r="G22" s="265">
        <v>700</v>
      </c>
      <c r="H22" s="242"/>
    </row>
    <row r="23" spans="1:11" ht="27.75" customHeight="1" x14ac:dyDescent="0.2">
      <c r="A23" s="12">
        <v>2212</v>
      </c>
      <c r="B23" s="14">
        <v>6171</v>
      </c>
      <c r="C23" s="181" t="s">
        <v>190</v>
      </c>
      <c r="D23" s="95">
        <v>50</v>
      </c>
      <c r="E23" s="95">
        <v>50</v>
      </c>
      <c r="F23" s="239">
        <v>14500</v>
      </c>
      <c r="G23" s="265">
        <v>50</v>
      </c>
      <c r="H23" s="242"/>
    </row>
    <row r="24" spans="1:11" ht="27.75" customHeight="1" x14ac:dyDescent="0.2">
      <c r="A24" s="12">
        <v>2229</v>
      </c>
      <c r="B24" s="14">
        <v>3111</v>
      </c>
      <c r="C24" s="181" t="s">
        <v>302</v>
      </c>
      <c r="D24" s="95">
        <v>0</v>
      </c>
      <c r="E24" s="95">
        <v>6.3</v>
      </c>
      <c r="F24" s="239">
        <v>6257</v>
      </c>
      <c r="G24" s="265">
        <v>0</v>
      </c>
      <c r="H24" s="242"/>
    </row>
    <row r="25" spans="1:11" ht="30" x14ac:dyDescent="0.2">
      <c r="A25" s="12">
        <v>2229</v>
      </c>
      <c r="B25" s="14">
        <v>3113</v>
      </c>
      <c r="C25" s="181" t="s">
        <v>276</v>
      </c>
      <c r="D25" s="95">
        <v>0</v>
      </c>
      <c r="E25" s="95">
        <f>0.4+0.4</f>
        <v>0.8</v>
      </c>
      <c r="F25" s="239">
        <f>372.5+372.5+1731+1731</f>
        <v>4207</v>
      </c>
      <c r="G25" s="265">
        <v>0</v>
      </c>
      <c r="H25" s="242"/>
    </row>
    <row r="26" spans="1:11" ht="30" x14ac:dyDescent="0.2">
      <c r="A26" s="12">
        <v>2229</v>
      </c>
      <c r="B26" s="14">
        <v>3319</v>
      </c>
      <c r="C26" s="181" t="s">
        <v>191</v>
      </c>
      <c r="D26" s="95">
        <v>0</v>
      </c>
      <c r="E26" s="95">
        <v>12</v>
      </c>
      <c r="F26" s="239">
        <v>12025</v>
      </c>
      <c r="G26" s="265">
        <v>0</v>
      </c>
      <c r="H26" s="242"/>
    </row>
    <row r="27" spans="1:11" ht="30" x14ac:dyDescent="0.2">
      <c r="A27" s="12">
        <v>2324</v>
      </c>
      <c r="B27" s="14">
        <v>6171</v>
      </c>
      <c r="C27" s="181" t="s">
        <v>192</v>
      </c>
      <c r="D27" s="95">
        <v>160</v>
      </c>
      <c r="E27" s="95">
        <v>160</v>
      </c>
      <c r="F27" s="239">
        <v>113026.47</v>
      </c>
      <c r="G27" s="265">
        <v>160</v>
      </c>
      <c r="H27" s="242"/>
    </row>
    <row r="28" spans="1:11" ht="15.75" x14ac:dyDescent="0.25">
      <c r="A28" s="12"/>
      <c r="B28" s="14"/>
      <c r="C28" s="182" t="s">
        <v>74</v>
      </c>
      <c r="D28" s="89">
        <f>SUM(D17:D27)</f>
        <v>1016.3</v>
      </c>
      <c r="E28" s="89">
        <f>SUM(E17:E27)</f>
        <v>1035.3999999999999</v>
      </c>
      <c r="F28" s="249">
        <f>SUM(F17:F27)</f>
        <v>1185858.03</v>
      </c>
      <c r="G28" s="262">
        <f>SUM(G17:G27)</f>
        <v>1394</v>
      </c>
      <c r="H28" s="255">
        <f>G28</f>
        <v>1394</v>
      </c>
    </row>
    <row r="29" spans="1:11" ht="15.75" x14ac:dyDescent="0.25">
      <c r="A29" s="12"/>
      <c r="B29" s="14"/>
      <c r="C29" s="182"/>
      <c r="D29" s="89"/>
      <c r="E29" s="89"/>
      <c r="F29" s="249"/>
      <c r="G29" s="263"/>
      <c r="H29" s="256"/>
    </row>
    <row r="30" spans="1:11" s="13" customFormat="1" ht="15.75" x14ac:dyDescent="0.25">
      <c r="A30" s="12"/>
      <c r="B30" s="14"/>
      <c r="C30" s="183" t="s">
        <v>76</v>
      </c>
      <c r="D30" s="95"/>
      <c r="E30" s="95"/>
      <c r="F30" s="251"/>
      <c r="G30" s="244"/>
      <c r="H30" s="242"/>
      <c r="I30" s="31"/>
      <c r="J30" s="31"/>
      <c r="K30" s="31"/>
    </row>
    <row r="31" spans="1:11" s="13" customFormat="1" ht="30" x14ac:dyDescent="0.2">
      <c r="A31" s="12">
        <v>4131</v>
      </c>
      <c r="B31" s="14">
        <v>6330</v>
      </c>
      <c r="C31" s="181" t="s">
        <v>309</v>
      </c>
      <c r="D31" s="95">
        <v>0</v>
      </c>
      <c r="E31" s="95">
        <v>1400</v>
      </c>
      <c r="F31" s="239">
        <v>1400000</v>
      </c>
      <c r="G31" s="265">
        <v>15000</v>
      </c>
      <c r="H31" s="242"/>
      <c r="I31" s="31"/>
      <c r="J31" s="31"/>
      <c r="K31" s="31"/>
    </row>
    <row r="32" spans="1:11" s="13" customFormat="1" ht="30" x14ac:dyDescent="0.2">
      <c r="A32" s="12">
        <v>4131</v>
      </c>
      <c r="B32" s="14">
        <v>6330</v>
      </c>
      <c r="C32" s="181" t="s">
        <v>297</v>
      </c>
      <c r="D32" s="95">
        <v>0</v>
      </c>
      <c r="E32" s="95">
        <v>1300</v>
      </c>
      <c r="F32" s="239">
        <v>1300000</v>
      </c>
      <c r="G32" s="265">
        <v>0</v>
      </c>
      <c r="H32" s="242"/>
      <c r="I32" s="31"/>
      <c r="J32" s="31"/>
      <c r="K32" s="31"/>
    </row>
    <row r="33" spans="1:9" ht="30" x14ac:dyDescent="0.2">
      <c r="A33" s="12">
        <v>4133</v>
      </c>
      <c r="B33" s="14">
        <v>6330</v>
      </c>
      <c r="C33" s="181" t="s">
        <v>166</v>
      </c>
      <c r="D33" s="95">
        <v>2472</v>
      </c>
      <c r="E33" s="95">
        <v>2472</v>
      </c>
      <c r="F33" s="239">
        <f>769349.12</f>
        <v>769349.12</v>
      </c>
      <c r="G33" s="265">
        <v>9000</v>
      </c>
      <c r="H33" s="242"/>
    </row>
    <row r="34" spans="1:9" x14ac:dyDescent="0.2">
      <c r="A34" s="12">
        <v>4134</v>
      </c>
      <c r="B34" s="14">
        <v>6330</v>
      </c>
      <c r="C34" s="181" t="s">
        <v>31</v>
      </c>
      <c r="D34" s="95"/>
      <c r="E34" s="95"/>
      <c r="F34" s="239"/>
      <c r="G34" s="265"/>
      <c r="H34" s="242"/>
    </row>
    <row r="35" spans="1:9" x14ac:dyDescent="0.2">
      <c r="A35" s="12"/>
      <c r="B35" s="14"/>
      <c r="C35" s="181" t="s">
        <v>310</v>
      </c>
      <c r="D35" s="95">
        <v>324</v>
      </c>
      <c r="E35" s="95">
        <v>324</v>
      </c>
      <c r="F35" s="239">
        <v>236239</v>
      </c>
      <c r="G35" s="265">
        <v>375</v>
      </c>
      <c r="H35" s="242"/>
    </row>
    <row r="36" spans="1:9" s="58" customFormat="1" x14ac:dyDescent="0.2">
      <c r="A36" s="12"/>
      <c r="B36" s="14"/>
      <c r="C36" s="181" t="s">
        <v>298</v>
      </c>
      <c r="D36" s="95">
        <v>0</v>
      </c>
      <c r="E36" s="95">
        <v>1300</v>
      </c>
      <c r="F36" s="239">
        <v>1300000</v>
      </c>
      <c r="G36" s="265">
        <v>0</v>
      </c>
      <c r="H36" s="242"/>
    </row>
    <row r="37" spans="1:9" s="58" customFormat="1" x14ac:dyDescent="0.2">
      <c r="A37" s="12">
        <v>4139</v>
      </c>
      <c r="B37" s="14">
        <v>6330</v>
      </c>
      <c r="C37" s="181" t="s">
        <v>193</v>
      </c>
      <c r="D37" s="95">
        <v>381</v>
      </c>
      <c r="E37" s="95">
        <v>381</v>
      </c>
      <c r="F37" s="239">
        <v>255325</v>
      </c>
      <c r="G37" s="265">
        <v>387</v>
      </c>
      <c r="H37" s="242"/>
    </row>
    <row r="38" spans="1:9" s="58" customFormat="1" ht="46.5" x14ac:dyDescent="0.25">
      <c r="A38" s="34">
        <v>4137</v>
      </c>
      <c r="B38" s="37">
        <v>6330</v>
      </c>
      <c r="C38" s="184" t="s">
        <v>195</v>
      </c>
      <c r="D38" s="95">
        <v>314.7</v>
      </c>
      <c r="E38" s="95">
        <v>314.7</v>
      </c>
      <c r="F38" s="239">
        <f>26000+26000+26000+26000+26000+26000+26000+26000+26000+26000+26000</f>
        <v>286000</v>
      </c>
      <c r="G38" s="265">
        <v>315</v>
      </c>
      <c r="H38" s="242"/>
    </row>
    <row r="39" spans="1:9" s="58" customFormat="1" ht="30.75" x14ac:dyDescent="0.25">
      <c r="A39" s="34">
        <v>4137</v>
      </c>
      <c r="B39" s="37">
        <v>6330</v>
      </c>
      <c r="C39" s="184" t="s">
        <v>194</v>
      </c>
      <c r="D39" s="95">
        <v>48337</v>
      </c>
      <c r="E39" s="95">
        <v>48337</v>
      </c>
      <c r="F39" s="239">
        <f>12084000+12084000+12084000+12085000</f>
        <v>48337000</v>
      </c>
      <c r="G39" s="265">
        <v>55518</v>
      </c>
      <c r="H39" s="242"/>
      <c r="I39" s="166"/>
    </row>
    <row r="40" spans="1:9" s="58" customFormat="1" ht="30" x14ac:dyDescent="0.2">
      <c r="A40" s="12">
        <v>4137</v>
      </c>
      <c r="B40" s="14">
        <v>6330</v>
      </c>
      <c r="C40" s="181" t="s">
        <v>295</v>
      </c>
      <c r="D40" s="95">
        <v>0</v>
      </c>
      <c r="E40" s="95">
        <v>2131</v>
      </c>
      <c r="F40" s="239">
        <v>2131000</v>
      </c>
      <c r="G40" s="265">
        <v>0</v>
      </c>
      <c r="H40" s="242"/>
      <c r="I40" s="166"/>
    </row>
    <row r="41" spans="1:9" s="58" customFormat="1" ht="30.75" x14ac:dyDescent="0.25">
      <c r="A41" s="12"/>
      <c r="B41" s="14"/>
      <c r="C41" s="181" t="s">
        <v>304</v>
      </c>
      <c r="D41" s="95"/>
      <c r="E41" s="95"/>
      <c r="F41" s="239"/>
      <c r="G41" s="265"/>
      <c r="H41" s="242"/>
    </row>
    <row r="42" spans="1:9" s="58" customFormat="1" x14ac:dyDescent="0.2">
      <c r="A42" s="12">
        <v>4137</v>
      </c>
      <c r="B42" s="14">
        <v>6330</v>
      </c>
      <c r="C42" s="181" t="s">
        <v>113</v>
      </c>
      <c r="D42" s="95">
        <v>0</v>
      </c>
      <c r="E42" s="95">
        <v>9.6</v>
      </c>
      <c r="F42" s="239">
        <v>9600</v>
      </c>
      <c r="G42" s="265">
        <v>0</v>
      </c>
      <c r="H42" s="242"/>
    </row>
    <row r="43" spans="1:9" s="58" customFormat="1" ht="30" x14ac:dyDescent="0.2">
      <c r="A43" s="12">
        <v>4137</v>
      </c>
      <c r="B43" s="14">
        <v>6330</v>
      </c>
      <c r="C43" s="181" t="s">
        <v>196</v>
      </c>
      <c r="D43" s="95">
        <v>0</v>
      </c>
      <c r="E43" s="95">
        <v>1497</v>
      </c>
      <c r="F43" s="239">
        <v>1497000</v>
      </c>
      <c r="G43" s="265">
        <v>0</v>
      </c>
      <c r="H43" s="242"/>
    </row>
    <row r="44" spans="1:9" s="58" customFormat="1" ht="45" x14ac:dyDescent="0.2">
      <c r="A44" s="12">
        <v>4137</v>
      </c>
      <c r="B44" s="14">
        <v>6330</v>
      </c>
      <c r="C44" s="181" t="s">
        <v>244</v>
      </c>
      <c r="D44" s="95">
        <v>0</v>
      </c>
      <c r="E44" s="95">
        <v>546</v>
      </c>
      <c r="F44" s="239">
        <v>546000</v>
      </c>
      <c r="G44" s="265">
        <v>0</v>
      </c>
      <c r="H44" s="242"/>
    </row>
    <row r="45" spans="1:9" s="58" customFormat="1" ht="60" x14ac:dyDescent="0.2">
      <c r="A45" s="12">
        <v>4137</v>
      </c>
      <c r="B45" s="14">
        <v>6330</v>
      </c>
      <c r="C45" s="181" t="s">
        <v>266</v>
      </c>
      <c r="D45" s="95">
        <v>0</v>
      </c>
      <c r="E45" s="95">
        <v>25.4</v>
      </c>
      <c r="F45" s="239">
        <f>10000+15421</f>
        <v>25421</v>
      </c>
      <c r="G45" s="265">
        <v>0</v>
      </c>
      <c r="H45" s="242"/>
    </row>
    <row r="46" spans="1:9" s="58" customFormat="1" ht="60" x14ac:dyDescent="0.2">
      <c r="A46" s="12">
        <v>4137</v>
      </c>
      <c r="B46" s="14">
        <v>6330</v>
      </c>
      <c r="C46" s="181" t="s">
        <v>267</v>
      </c>
      <c r="D46" s="95">
        <v>0</v>
      </c>
      <c r="E46" s="95">
        <v>9.1999999999999993</v>
      </c>
      <c r="F46" s="239">
        <v>9200</v>
      </c>
      <c r="G46" s="265">
        <v>0</v>
      </c>
      <c r="H46" s="242"/>
      <c r="I46" s="4"/>
    </row>
    <row r="47" spans="1:9" s="58" customFormat="1" x14ac:dyDescent="0.2">
      <c r="A47" s="12">
        <v>4137</v>
      </c>
      <c r="B47" s="14">
        <v>6330</v>
      </c>
      <c r="C47" s="181" t="s">
        <v>262</v>
      </c>
      <c r="D47" s="95">
        <v>0</v>
      </c>
      <c r="E47" s="95">
        <v>357.5</v>
      </c>
      <c r="F47" s="239">
        <v>357500</v>
      </c>
      <c r="G47" s="265">
        <v>0</v>
      </c>
      <c r="H47" s="242"/>
    </row>
    <row r="48" spans="1:9" s="58" customFormat="1" ht="30" x14ac:dyDescent="0.2">
      <c r="A48" s="12">
        <v>4137</v>
      </c>
      <c r="B48" s="14">
        <v>6330</v>
      </c>
      <c r="C48" s="181" t="s">
        <v>261</v>
      </c>
      <c r="D48" s="95">
        <v>0</v>
      </c>
      <c r="E48" s="95">
        <v>1465</v>
      </c>
      <c r="F48" s="239">
        <v>1465000</v>
      </c>
      <c r="G48" s="265">
        <v>0</v>
      </c>
      <c r="H48" s="242"/>
    </row>
    <row r="49" spans="1:9" s="58" customFormat="1" ht="30" x14ac:dyDescent="0.2">
      <c r="A49" s="12">
        <v>4137</v>
      </c>
      <c r="B49" s="14">
        <v>6330</v>
      </c>
      <c r="C49" s="181" t="s">
        <v>263</v>
      </c>
      <c r="D49" s="95">
        <v>0</v>
      </c>
      <c r="E49" s="95">
        <v>2360.1999999999998</v>
      </c>
      <c r="F49" s="239">
        <v>2360200</v>
      </c>
      <c r="G49" s="265">
        <v>0</v>
      </c>
      <c r="H49" s="242"/>
    </row>
    <row r="50" spans="1:9" s="58" customFormat="1" ht="30" x14ac:dyDescent="0.2">
      <c r="A50" s="12">
        <v>4137</v>
      </c>
      <c r="B50" s="14">
        <v>6330</v>
      </c>
      <c r="C50" s="181" t="s">
        <v>273</v>
      </c>
      <c r="D50" s="95">
        <v>0</v>
      </c>
      <c r="E50" s="95">
        <v>2186.3000000000002</v>
      </c>
      <c r="F50" s="239">
        <v>2186306.37</v>
      </c>
      <c r="G50" s="265">
        <v>0</v>
      </c>
      <c r="H50" s="242"/>
    </row>
    <row r="51" spans="1:9" s="58" customFormat="1" x14ac:dyDescent="0.2">
      <c r="A51" s="12">
        <v>4137</v>
      </c>
      <c r="B51" s="14">
        <v>6330</v>
      </c>
      <c r="C51" s="181" t="s">
        <v>296</v>
      </c>
      <c r="D51" s="95">
        <v>0</v>
      </c>
      <c r="E51" s="95">
        <v>270</v>
      </c>
      <c r="F51" s="239">
        <v>270000</v>
      </c>
      <c r="G51" s="265">
        <v>0</v>
      </c>
      <c r="H51" s="242"/>
    </row>
    <row r="52" spans="1:9" s="58" customFormat="1" ht="30" x14ac:dyDescent="0.2">
      <c r="A52" s="12">
        <v>4137</v>
      </c>
      <c r="B52" s="14">
        <v>6330</v>
      </c>
      <c r="C52" s="181" t="s">
        <v>305</v>
      </c>
      <c r="D52" s="95">
        <v>0</v>
      </c>
      <c r="E52" s="95">
        <v>1994.6</v>
      </c>
      <c r="F52" s="239">
        <v>1994600</v>
      </c>
      <c r="G52" s="265">
        <v>0</v>
      </c>
      <c r="H52" s="242"/>
    </row>
    <row r="53" spans="1:9" s="58" customFormat="1" x14ac:dyDescent="0.2">
      <c r="A53" s="12">
        <v>4137</v>
      </c>
      <c r="B53" s="14">
        <v>6330</v>
      </c>
      <c r="C53" s="181" t="s">
        <v>334</v>
      </c>
      <c r="D53" s="95">
        <v>0</v>
      </c>
      <c r="E53" s="95">
        <v>212</v>
      </c>
      <c r="F53" s="239">
        <v>212000</v>
      </c>
      <c r="G53" s="265">
        <v>0</v>
      </c>
      <c r="H53" s="242"/>
    </row>
    <row r="54" spans="1:9" s="58" customFormat="1" x14ac:dyDescent="0.2">
      <c r="A54" s="12"/>
      <c r="B54" s="14"/>
      <c r="C54" s="181"/>
      <c r="D54" s="95"/>
      <c r="E54" s="95"/>
      <c r="F54" s="239"/>
      <c r="G54" s="265"/>
      <c r="H54" s="242"/>
    </row>
    <row r="55" spans="1:9" s="58" customFormat="1" ht="15.75" x14ac:dyDescent="0.25">
      <c r="A55" s="12"/>
      <c r="B55" s="14"/>
      <c r="C55" s="183" t="s">
        <v>259</v>
      </c>
      <c r="D55" s="95"/>
      <c r="E55" s="95"/>
      <c r="F55" s="239"/>
      <c r="G55" s="265"/>
      <c r="H55" s="242"/>
    </row>
    <row r="56" spans="1:9" s="58" customFormat="1" ht="17.25" customHeight="1" x14ac:dyDescent="0.2">
      <c r="A56" s="12">
        <v>4137</v>
      </c>
      <c r="B56" s="14">
        <v>6330</v>
      </c>
      <c r="C56" s="181" t="s">
        <v>147</v>
      </c>
      <c r="D56" s="95">
        <v>0</v>
      </c>
      <c r="E56" s="95">
        <v>764</v>
      </c>
      <c r="F56" s="239">
        <v>381928.44</v>
      </c>
      <c r="G56" s="265">
        <v>0</v>
      </c>
      <c r="H56" s="242"/>
      <c r="I56" s="4"/>
    </row>
    <row r="57" spans="1:9" s="58" customFormat="1" x14ac:dyDescent="0.2">
      <c r="A57" s="12">
        <v>4137</v>
      </c>
      <c r="B57" s="14">
        <v>6330</v>
      </c>
      <c r="C57" s="181" t="s">
        <v>146</v>
      </c>
      <c r="D57" s="95">
        <v>0</v>
      </c>
      <c r="E57" s="95">
        <v>764</v>
      </c>
      <c r="F57" s="239">
        <v>381928.43</v>
      </c>
      <c r="G57" s="265">
        <v>0</v>
      </c>
      <c r="H57" s="242"/>
      <c r="I57" s="4"/>
    </row>
    <row r="58" spans="1:9" s="101" customFormat="1" ht="15" customHeight="1" x14ac:dyDescent="0.2">
      <c r="A58" s="12">
        <v>4137</v>
      </c>
      <c r="B58" s="14">
        <v>6330</v>
      </c>
      <c r="C58" s="181" t="s">
        <v>169</v>
      </c>
      <c r="D58" s="95">
        <v>0</v>
      </c>
      <c r="E58" s="95">
        <v>1423</v>
      </c>
      <c r="F58" s="239">
        <v>1159081.25</v>
      </c>
      <c r="G58" s="265">
        <v>0</v>
      </c>
      <c r="H58" s="242"/>
    </row>
    <row r="59" spans="1:9" s="101" customFormat="1" ht="16.5" customHeight="1" x14ac:dyDescent="0.2">
      <c r="A59" s="12">
        <v>4137</v>
      </c>
      <c r="B59" s="14">
        <v>6330</v>
      </c>
      <c r="C59" s="181" t="s">
        <v>170</v>
      </c>
      <c r="D59" s="95">
        <v>0</v>
      </c>
      <c r="E59" s="95">
        <v>1423</v>
      </c>
      <c r="F59" s="239">
        <v>1159081.25</v>
      </c>
      <c r="G59" s="265">
        <v>0</v>
      </c>
      <c r="H59" s="242"/>
    </row>
    <row r="60" spans="1:9" s="58" customFormat="1" x14ac:dyDescent="0.2">
      <c r="A60" s="12">
        <v>4137</v>
      </c>
      <c r="B60" s="14">
        <v>6330</v>
      </c>
      <c r="C60" s="181" t="s">
        <v>255</v>
      </c>
      <c r="D60" s="95">
        <v>0</v>
      </c>
      <c r="E60" s="95">
        <v>282.39999999999998</v>
      </c>
      <c r="F60" s="239">
        <v>188250</v>
      </c>
      <c r="G60" s="265">
        <v>0</v>
      </c>
      <c r="H60" s="242"/>
    </row>
    <row r="61" spans="1:9" s="58" customFormat="1" x14ac:dyDescent="0.2">
      <c r="A61" s="12">
        <v>4137</v>
      </c>
      <c r="B61" s="14">
        <v>6330</v>
      </c>
      <c r="C61" s="181" t="s">
        <v>256</v>
      </c>
      <c r="D61" s="95">
        <v>0</v>
      </c>
      <c r="E61" s="95">
        <v>353</v>
      </c>
      <c r="F61" s="239">
        <v>235312.5</v>
      </c>
      <c r="G61" s="265">
        <v>0</v>
      </c>
      <c r="H61" s="242"/>
    </row>
    <row r="62" spans="1:9" s="58" customFormat="1" x14ac:dyDescent="0.2">
      <c r="A62" s="12">
        <v>4251</v>
      </c>
      <c r="B62" s="14">
        <v>6330</v>
      </c>
      <c r="C62" s="181" t="s">
        <v>257</v>
      </c>
      <c r="D62" s="95">
        <v>0</v>
      </c>
      <c r="E62" s="95">
        <v>318</v>
      </c>
      <c r="F62" s="239">
        <v>211750</v>
      </c>
      <c r="G62" s="265">
        <v>0</v>
      </c>
      <c r="H62" s="242"/>
      <c r="I62" s="4"/>
    </row>
    <row r="63" spans="1:9" s="58" customFormat="1" x14ac:dyDescent="0.2">
      <c r="A63" s="12">
        <v>4251</v>
      </c>
      <c r="B63" s="14">
        <v>6330</v>
      </c>
      <c r="C63" s="181" t="s">
        <v>258</v>
      </c>
      <c r="D63" s="95">
        <v>0</v>
      </c>
      <c r="E63" s="95">
        <v>397.5</v>
      </c>
      <c r="F63" s="239">
        <v>264687.5</v>
      </c>
      <c r="G63" s="265">
        <v>0</v>
      </c>
      <c r="H63" s="242"/>
      <c r="I63" s="4"/>
    </row>
    <row r="64" spans="1:9" s="58" customFormat="1" x14ac:dyDescent="0.2">
      <c r="A64" s="12"/>
      <c r="B64" s="14"/>
      <c r="C64" s="181"/>
      <c r="D64" s="95"/>
      <c r="E64" s="95"/>
      <c r="F64" s="239"/>
      <c r="G64" s="265"/>
      <c r="H64" s="242"/>
      <c r="I64" s="4"/>
    </row>
    <row r="65" spans="1:11" s="58" customFormat="1" ht="30.75" x14ac:dyDescent="0.25">
      <c r="A65" s="12"/>
      <c r="B65" s="14"/>
      <c r="C65" s="181" t="s">
        <v>197</v>
      </c>
      <c r="D65" s="95"/>
      <c r="E65" s="95"/>
      <c r="F65" s="239"/>
      <c r="G65" s="265"/>
      <c r="H65" s="242"/>
      <c r="I65" s="4"/>
    </row>
    <row r="66" spans="1:11" s="58" customFormat="1" x14ac:dyDescent="0.2">
      <c r="A66" s="12">
        <v>4251</v>
      </c>
      <c r="B66" s="14">
        <v>6330</v>
      </c>
      <c r="C66" s="181" t="s">
        <v>164</v>
      </c>
      <c r="D66" s="95">
        <v>0</v>
      </c>
      <c r="E66" s="95">
        <v>10000</v>
      </c>
      <c r="F66" s="239">
        <v>10000000</v>
      </c>
      <c r="G66" s="265">
        <v>0</v>
      </c>
      <c r="H66" s="242"/>
      <c r="I66" s="4"/>
    </row>
    <row r="67" spans="1:11" s="58" customFormat="1" x14ac:dyDescent="0.2">
      <c r="A67" s="12">
        <v>4251</v>
      </c>
      <c r="B67" s="14">
        <v>6330</v>
      </c>
      <c r="C67" s="181" t="s">
        <v>269</v>
      </c>
      <c r="D67" s="95">
        <v>0</v>
      </c>
      <c r="E67" s="95">
        <v>6500</v>
      </c>
      <c r="F67" s="239">
        <v>6500000</v>
      </c>
      <c r="G67" s="265">
        <v>0</v>
      </c>
      <c r="H67" s="242"/>
      <c r="I67" s="4"/>
    </row>
    <row r="68" spans="1:11" s="58" customFormat="1" x14ac:dyDescent="0.2">
      <c r="A68" s="12"/>
      <c r="B68" s="14"/>
      <c r="C68" s="181"/>
      <c r="D68" s="95"/>
      <c r="E68" s="95"/>
      <c r="F68" s="239"/>
      <c r="G68" s="265"/>
      <c r="H68" s="242"/>
      <c r="I68" s="4"/>
    </row>
    <row r="69" spans="1:11" s="6" customFormat="1" ht="15.75" x14ac:dyDescent="0.25">
      <c r="A69" s="12"/>
      <c r="B69" s="14"/>
      <c r="C69" s="185" t="s">
        <v>81</v>
      </c>
      <c r="D69" s="96">
        <f>SUM(D31:D67)</f>
        <v>51828.7</v>
      </c>
      <c r="E69" s="96">
        <f t="shared" ref="E69:F69" si="1">SUM(E31:E67)</f>
        <v>91117.4</v>
      </c>
      <c r="F69" s="251">
        <f t="shared" si="1"/>
        <v>87429759.859999999</v>
      </c>
      <c r="G69" s="262">
        <f>SUM(G31:G67)</f>
        <v>80595</v>
      </c>
      <c r="H69" s="255">
        <f>G69</f>
        <v>80595</v>
      </c>
      <c r="I69" s="57"/>
      <c r="J69" s="57"/>
      <c r="K69" s="57"/>
    </row>
    <row r="70" spans="1:11" s="6" customFormat="1" ht="15.75" x14ac:dyDescent="0.25">
      <c r="A70" s="12"/>
      <c r="B70" s="14"/>
      <c r="C70" s="185"/>
      <c r="D70" s="95"/>
      <c r="E70" s="95"/>
      <c r="F70" s="249"/>
      <c r="G70" s="264"/>
      <c r="H70" s="257"/>
      <c r="I70" s="57"/>
      <c r="J70" s="57"/>
      <c r="K70" s="57"/>
    </row>
    <row r="71" spans="1:11" ht="32.25" thickBot="1" x14ac:dyDescent="0.3">
      <c r="A71" s="186"/>
      <c r="B71" s="187"/>
      <c r="C71" s="188" t="s">
        <v>79</v>
      </c>
      <c r="D71" s="189">
        <f>D14+D28+D69</f>
        <v>69580</v>
      </c>
      <c r="E71" s="189">
        <f>E14+E28+E69</f>
        <v>108887.79999999999</v>
      </c>
      <c r="F71" s="237">
        <f>F14+F28+F69</f>
        <v>105414122.83</v>
      </c>
      <c r="G71" s="271">
        <f>G14+G28+G69</f>
        <v>99144</v>
      </c>
      <c r="H71" s="258">
        <f>SUM(H7:H69)</f>
        <v>99144</v>
      </c>
      <c r="I71" s="4"/>
    </row>
    <row r="72" spans="1:11" ht="15.75" x14ac:dyDescent="0.25">
      <c r="A72" s="104"/>
      <c r="B72" s="105"/>
      <c r="C72" s="106"/>
      <c r="D72" s="154"/>
      <c r="E72" s="167"/>
      <c r="F72" s="141"/>
      <c r="G72" s="141"/>
    </row>
    <row r="73" spans="1:11" s="11" customFormat="1" ht="16.5" thickBot="1" x14ac:dyDescent="0.3">
      <c r="A73" s="107"/>
      <c r="B73" s="108"/>
      <c r="C73" s="109" t="s">
        <v>75</v>
      </c>
      <c r="D73" s="117"/>
      <c r="E73" s="117"/>
      <c r="F73" s="190"/>
      <c r="G73" s="124"/>
      <c r="H73" s="60"/>
      <c r="I73" s="59"/>
      <c r="J73" s="59"/>
      <c r="K73" s="59"/>
    </row>
    <row r="74" spans="1:11" s="11" customFormat="1" ht="30" x14ac:dyDescent="0.2">
      <c r="A74" s="62">
        <v>4133</v>
      </c>
      <c r="B74" s="191">
        <v>6330</v>
      </c>
      <c r="C74" s="192" t="s">
        <v>117</v>
      </c>
      <c r="D74" s="129">
        <f>D33</f>
        <v>2472</v>
      </c>
      <c r="E74" s="129">
        <f>E33</f>
        <v>2472</v>
      </c>
      <c r="F74" s="238">
        <f>F33</f>
        <v>769349.12</v>
      </c>
      <c r="G74" s="266">
        <f>G33</f>
        <v>9000</v>
      </c>
      <c r="H74" s="241"/>
      <c r="I74" s="59"/>
      <c r="J74" s="59"/>
      <c r="K74" s="59"/>
    </row>
    <row r="75" spans="1:11" s="11" customFormat="1" x14ac:dyDescent="0.2">
      <c r="A75" s="12">
        <v>4134</v>
      </c>
      <c r="B75" s="14">
        <v>6330</v>
      </c>
      <c r="C75" s="181" t="s">
        <v>31</v>
      </c>
      <c r="D75" s="95"/>
      <c r="E75" s="95"/>
      <c r="F75" s="239"/>
      <c r="G75" s="265"/>
      <c r="H75" s="242"/>
      <c r="I75" s="59"/>
      <c r="J75" s="59"/>
      <c r="K75" s="59"/>
    </row>
    <row r="76" spans="1:11" s="11" customFormat="1" x14ac:dyDescent="0.2">
      <c r="A76" s="34"/>
      <c r="B76" s="37"/>
      <c r="C76" s="184" t="s">
        <v>148</v>
      </c>
      <c r="D76" s="95">
        <f t="shared" ref="D76:F78" si="2">D35</f>
        <v>324</v>
      </c>
      <c r="E76" s="95">
        <f t="shared" si="2"/>
        <v>324</v>
      </c>
      <c r="F76" s="239">
        <f t="shared" si="2"/>
        <v>236239</v>
      </c>
      <c r="G76" s="265">
        <f t="shared" ref="G76" si="3">G35</f>
        <v>375</v>
      </c>
      <c r="H76" s="242"/>
      <c r="I76" s="59"/>
      <c r="J76" s="59"/>
      <c r="K76" s="59"/>
    </row>
    <row r="77" spans="1:11" s="11" customFormat="1" x14ac:dyDescent="0.2">
      <c r="A77" s="34"/>
      <c r="B77" s="37"/>
      <c r="C77" s="184" t="s">
        <v>61</v>
      </c>
      <c r="D77" s="95">
        <f t="shared" si="2"/>
        <v>0</v>
      </c>
      <c r="E77" s="95">
        <f t="shared" si="2"/>
        <v>1300</v>
      </c>
      <c r="F77" s="239">
        <f t="shared" si="2"/>
        <v>1300000</v>
      </c>
      <c r="G77" s="265">
        <f t="shared" ref="G77" si="4">G36</f>
        <v>0</v>
      </c>
      <c r="H77" s="242"/>
      <c r="I77" s="59"/>
      <c r="J77" s="59"/>
      <c r="K77" s="59"/>
    </row>
    <row r="78" spans="1:11" x14ac:dyDescent="0.2">
      <c r="A78" s="12">
        <v>4139</v>
      </c>
      <c r="B78" s="14">
        <v>6330</v>
      </c>
      <c r="C78" s="181" t="s">
        <v>149</v>
      </c>
      <c r="D78" s="95">
        <f t="shared" si="2"/>
        <v>381</v>
      </c>
      <c r="E78" s="95">
        <f t="shared" si="2"/>
        <v>381</v>
      </c>
      <c r="F78" s="239">
        <f t="shared" si="2"/>
        <v>255325</v>
      </c>
      <c r="G78" s="265">
        <f t="shared" ref="G78" si="5">G37</f>
        <v>387</v>
      </c>
      <c r="H78" s="242"/>
    </row>
    <row r="79" spans="1:11" ht="30" x14ac:dyDescent="0.2">
      <c r="A79" s="12">
        <v>4137</v>
      </c>
      <c r="B79" s="14">
        <v>6330</v>
      </c>
      <c r="C79" s="181" t="s">
        <v>198</v>
      </c>
      <c r="D79" s="95">
        <f>SUM(D38:D63)-(D62+D63)</f>
        <v>48651.7</v>
      </c>
      <c r="E79" s="95">
        <f>SUM(E38:E63)-(E62+E63)</f>
        <v>66724.899999999994</v>
      </c>
      <c r="F79" s="239">
        <f>SUM(F38:F63)-(F62+F63)</f>
        <v>65192409.239999995</v>
      </c>
      <c r="G79" s="265">
        <f>SUM(G38:G63)-(G62+G63)</f>
        <v>55833</v>
      </c>
      <c r="H79" s="242"/>
    </row>
    <row r="80" spans="1:11" ht="30" x14ac:dyDescent="0.2">
      <c r="A80" s="12">
        <v>4251</v>
      </c>
      <c r="B80" s="14">
        <v>6330</v>
      </c>
      <c r="C80" s="181" t="s">
        <v>143</v>
      </c>
      <c r="D80" s="95">
        <f>D66+D62+D63</f>
        <v>0</v>
      </c>
      <c r="E80" s="95">
        <f>E66+E67+E62+E63</f>
        <v>17215.5</v>
      </c>
      <c r="F80" s="239">
        <f>F66+F67+F62+F63</f>
        <v>16976437.5</v>
      </c>
      <c r="G80" s="265">
        <f>G66+G67+G62+G63</f>
        <v>0</v>
      </c>
      <c r="H80" s="242"/>
    </row>
    <row r="81" spans="1:11" ht="32.25" thickBot="1" x14ac:dyDescent="0.3">
      <c r="A81" s="193"/>
      <c r="B81" s="194"/>
      <c r="C81" s="195" t="s">
        <v>78</v>
      </c>
      <c r="D81" s="120">
        <f>SUM(D74:D80)</f>
        <v>51828.7</v>
      </c>
      <c r="E81" s="120">
        <f t="shared" ref="E81:F81" si="6">SUM(E74:E80)</f>
        <v>88417.4</v>
      </c>
      <c r="F81" s="240">
        <f t="shared" si="6"/>
        <v>84729759.859999999</v>
      </c>
      <c r="G81" s="245">
        <f>SUM(G74:G80)</f>
        <v>65595</v>
      </c>
      <c r="H81" s="243">
        <f>G81</f>
        <v>65595</v>
      </c>
    </row>
    <row r="82" spans="1:11" ht="16.5" thickBot="1" x14ac:dyDescent="0.3">
      <c r="A82" s="56"/>
      <c r="B82" s="56"/>
      <c r="C82" s="93"/>
      <c r="D82" s="155"/>
      <c r="E82" s="151"/>
      <c r="F82" s="94"/>
      <c r="G82" s="199"/>
    </row>
    <row r="83" spans="1:11" ht="32.25" thickBot="1" x14ac:dyDescent="0.3">
      <c r="A83" s="61"/>
      <c r="B83" s="27"/>
      <c r="C83" s="196" t="s">
        <v>82</v>
      </c>
      <c r="D83" s="119">
        <f>D71-D81</f>
        <v>17751.300000000003</v>
      </c>
      <c r="E83" s="119">
        <f>E71-E81</f>
        <v>20470.399999999994</v>
      </c>
      <c r="F83" s="237">
        <f>F71-F81</f>
        <v>20684362.969999999</v>
      </c>
      <c r="G83" s="267">
        <f>G71-G81</f>
        <v>33549</v>
      </c>
      <c r="H83" s="152">
        <f>H71-H81</f>
        <v>33549</v>
      </c>
    </row>
    <row r="84" spans="1:11" ht="16.5" thickBot="1" x14ac:dyDescent="0.3">
      <c r="C84" s="25"/>
      <c r="D84" s="155"/>
      <c r="E84" s="151"/>
      <c r="F84" s="26"/>
      <c r="G84" s="199"/>
      <c r="H84" s="199"/>
    </row>
    <row r="85" spans="1:11" ht="16.5" thickBot="1" x14ac:dyDescent="0.3">
      <c r="A85" s="22"/>
      <c r="B85" s="27"/>
      <c r="C85" s="28" t="s">
        <v>150</v>
      </c>
      <c r="D85" s="119">
        <f t="shared" ref="D85:G85" si="7">D79+D80</f>
        <v>48651.7</v>
      </c>
      <c r="E85" s="119">
        <f t="shared" si="7"/>
        <v>83940.4</v>
      </c>
      <c r="F85" s="236">
        <f t="shared" si="7"/>
        <v>82168846.739999995</v>
      </c>
      <c r="G85" s="267">
        <f t="shared" si="7"/>
        <v>55833</v>
      </c>
      <c r="H85" s="152">
        <f>G85</f>
        <v>55833</v>
      </c>
    </row>
    <row r="86" spans="1:11" ht="16.5" thickBot="1" x14ac:dyDescent="0.3">
      <c r="D86" s="155"/>
      <c r="E86" s="151"/>
      <c r="F86" s="26"/>
      <c r="G86" s="199"/>
      <c r="H86" s="199"/>
    </row>
    <row r="87" spans="1:11" ht="16.5" thickBot="1" x14ac:dyDescent="0.3">
      <c r="A87" s="23"/>
      <c r="B87" s="24"/>
      <c r="C87" s="197" t="s">
        <v>102</v>
      </c>
      <c r="D87" s="198">
        <f t="shared" ref="D87:H87" si="8">SUM(D83:D85)</f>
        <v>66403</v>
      </c>
      <c r="E87" s="198">
        <f t="shared" si="8"/>
        <v>104410.79999999999</v>
      </c>
      <c r="F87" s="268">
        <f t="shared" si="8"/>
        <v>102853209.70999999</v>
      </c>
      <c r="G87" s="269">
        <f t="shared" si="8"/>
        <v>89382</v>
      </c>
      <c r="H87" s="270">
        <f t="shared" si="8"/>
        <v>89382</v>
      </c>
    </row>
    <row r="88" spans="1:11" s="6" customFormat="1" ht="12.75" x14ac:dyDescent="0.2">
      <c r="A88" s="322" t="s">
        <v>391</v>
      </c>
      <c r="B88" s="323"/>
      <c r="C88" s="323"/>
      <c r="D88" s="323"/>
      <c r="E88" s="323"/>
      <c r="F88" s="323"/>
      <c r="G88" s="323"/>
      <c r="H88" s="4"/>
      <c r="I88" s="57"/>
      <c r="J88" s="57"/>
      <c r="K88" s="57"/>
    </row>
    <row r="89" spans="1:11" s="6" customFormat="1" ht="24.75" customHeight="1" x14ac:dyDescent="0.2">
      <c r="A89" s="324"/>
      <c r="B89" s="324"/>
      <c r="C89" s="324"/>
      <c r="D89" s="324"/>
      <c r="E89" s="324"/>
      <c r="F89" s="324"/>
      <c r="G89" s="324"/>
      <c r="H89" s="4"/>
      <c r="I89" s="57"/>
      <c r="J89" s="57"/>
      <c r="K89" s="57"/>
    </row>
    <row r="90" spans="1:11" s="6" customFormat="1" ht="12.75" customHeight="1" x14ac:dyDescent="0.2">
      <c r="A90" s="324"/>
      <c r="B90" s="324"/>
      <c r="C90" s="324"/>
      <c r="D90" s="324"/>
      <c r="E90" s="324"/>
      <c r="F90" s="324"/>
      <c r="G90" s="324"/>
      <c r="H90" s="4"/>
      <c r="I90" s="57"/>
      <c r="J90" s="57"/>
      <c r="K90" s="57"/>
    </row>
    <row r="91" spans="1:11" s="6" customFormat="1" ht="12.75" customHeight="1" x14ac:dyDescent="0.2">
      <c r="A91" s="324"/>
      <c r="B91" s="324"/>
      <c r="C91" s="324"/>
      <c r="D91" s="324"/>
      <c r="E91" s="324"/>
      <c r="F91" s="324"/>
      <c r="G91" s="324"/>
      <c r="H91" s="4"/>
      <c r="I91" s="57"/>
      <c r="J91" s="57"/>
      <c r="K91" s="57"/>
    </row>
    <row r="92" spans="1:11" s="6" customFormat="1" ht="12" customHeight="1" x14ac:dyDescent="0.2">
      <c r="A92" s="324"/>
      <c r="B92" s="324"/>
      <c r="C92" s="324"/>
      <c r="D92" s="324"/>
      <c r="E92" s="324"/>
      <c r="F92" s="324"/>
      <c r="G92" s="324"/>
      <c r="H92" s="4"/>
      <c r="I92" s="57"/>
      <c r="J92" s="57"/>
      <c r="K92" s="57"/>
    </row>
    <row r="93" spans="1:11" s="6" customFormat="1" ht="3.75" hidden="1" customHeight="1" x14ac:dyDescent="0.2">
      <c r="A93" s="324"/>
      <c r="B93" s="324"/>
      <c r="C93" s="324"/>
      <c r="D93" s="324"/>
      <c r="E93" s="324"/>
      <c r="F93" s="324"/>
      <c r="G93" s="324"/>
      <c r="H93" s="4"/>
      <c r="I93" s="57"/>
      <c r="J93" s="57"/>
      <c r="K93" s="57"/>
    </row>
    <row r="94" spans="1:11" s="6" customFormat="1" ht="12.75" customHeight="1" x14ac:dyDescent="0.2">
      <c r="A94" s="231"/>
      <c r="B94" s="231"/>
      <c r="C94" s="231"/>
      <c r="D94" s="123"/>
      <c r="E94" s="123"/>
      <c r="F94" s="224"/>
      <c r="G94" s="123"/>
      <c r="H94" s="4"/>
      <c r="I94" s="57"/>
      <c r="J94" s="57"/>
      <c r="K94" s="57"/>
    </row>
    <row r="95" spans="1:11" s="6" customFormat="1" ht="12.75" customHeight="1" x14ac:dyDescent="0.2">
      <c r="A95" s="231"/>
      <c r="B95" s="231"/>
      <c r="C95" s="231"/>
      <c r="D95" s="123"/>
      <c r="E95" s="123"/>
      <c r="F95" s="224"/>
      <c r="G95" s="123"/>
      <c r="H95" s="4"/>
      <c r="I95" s="57"/>
      <c r="J95" s="57"/>
      <c r="K95" s="57"/>
    </row>
    <row r="96" spans="1:11" s="6" customFormat="1" ht="14.25" x14ac:dyDescent="0.2">
      <c r="A96" s="231"/>
      <c r="B96" s="231"/>
      <c r="C96" s="231"/>
      <c r="D96" s="123"/>
      <c r="E96" s="123"/>
      <c r="F96" s="224"/>
      <c r="G96" s="123"/>
      <c r="H96" s="4"/>
      <c r="I96" s="57"/>
      <c r="J96" s="57"/>
      <c r="K96" s="57"/>
    </row>
    <row r="97" spans="1:11" s="6" customFormat="1" ht="14.25" x14ac:dyDescent="0.2">
      <c r="A97" s="325"/>
      <c r="B97" s="326"/>
      <c r="C97" s="326"/>
      <c r="D97" s="326"/>
      <c r="E97" s="326"/>
      <c r="F97" s="326"/>
      <c r="G97" s="156"/>
      <c r="H97" s="4"/>
      <c r="I97" s="57"/>
      <c r="J97" s="57"/>
      <c r="K97" s="57"/>
    </row>
    <row r="98" spans="1:11" s="6" customFormat="1" x14ac:dyDescent="0.25">
      <c r="A98" s="317" t="s">
        <v>392</v>
      </c>
      <c r="B98" s="327"/>
      <c r="C98" s="327"/>
      <c r="D98" s="327"/>
      <c r="E98" s="327"/>
      <c r="F98" s="327"/>
      <c r="G98" s="327"/>
      <c r="H98" s="4"/>
      <c r="I98" s="57"/>
      <c r="J98" s="57"/>
      <c r="K98" s="57"/>
    </row>
    <row r="99" spans="1:11" ht="15.75" x14ac:dyDescent="0.25">
      <c r="A99" s="142"/>
      <c r="B99" s="142"/>
      <c r="C99" s="143"/>
      <c r="D99" s="157"/>
      <c r="E99" s="157"/>
      <c r="F99" s="225"/>
      <c r="G99" s="157"/>
    </row>
    <row r="100" spans="1:11" ht="15.75" x14ac:dyDescent="0.25">
      <c r="A100" s="142"/>
      <c r="B100" s="142"/>
      <c r="C100" s="317" t="s">
        <v>335</v>
      </c>
      <c r="D100" s="317"/>
      <c r="E100" s="317"/>
      <c r="F100" s="317"/>
      <c r="G100" s="158"/>
    </row>
    <row r="101" spans="1:11" x14ac:dyDescent="0.2">
      <c r="A101" s="142"/>
      <c r="B101" s="142"/>
      <c r="C101" s="318" t="s">
        <v>393</v>
      </c>
      <c r="D101" s="318"/>
      <c r="E101" s="318"/>
      <c r="F101" s="318"/>
      <c r="G101" s="159"/>
    </row>
    <row r="102" spans="1:11" s="13" customFormat="1" x14ac:dyDescent="0.2">
      <c r="A102" s="142"/>
      <c r="B102" s="142"/>
      <c r="C102" s="144"/>
      <c r="D102" s="162"/>
      <c r="E102" s="162"/>
      <c r="F102" s="226"/>
      <c r="G102" s="160"/>
      <c r="H102" s="4"/>
      <c r="I102" s="58"/>
      <c r="J102" s="58"/>
      <c r="K102" s="58"/>
    </row>
    <row r="103" spans="1:11" s="13" customFormat="1" ht="15.75" x14ac:dyDescent="0.25">
      <c r="A103" s="142"/>
      <c r="B103" s="142"/>
      <c r="C103" s="319" t="s">
        <v>168</v>
      </c>
      <c r="D103" s="319"/>
      <c r="E103" s="319"/>
      <c r="F103" s="319"/>
      <c r="G103" s="161"/>
      <c r="H103" s="4"/>
      <c r="I103" s="58"/>
      <c r="J103" s="58"/>
      <c r="K103" s="58"/>
    </row>
  </sheetData>
  <mergeCells count="9">
    <mergeCell ref="C100:F100"/>
    <mergeCell ref="C101:F101"/>
    <mergeCell ref="C103:F103"/>
    <mergeCell ref="A1:G1"/>
    <mergeCell ref="A2:G2"/>
    <mergeCell ref="B3:F3"/>
    <mergeCell ref="A88:G93"/>
    <mergeCell ref="A97:F97"/>
    <mergeCell ref="A98:G98"/>
  </mergeCells>
  <hyperlinks>
    <hyperlink ref="C101" r:id="rId1" display="http://www.praha-kunratice.cz/"/>
  </hyperlinks>
  <pageMargins left="0.7" right="0.7" top="0.78740157499999996" bottom="0.78740157499999996" header="0.3" footer="0.3"/>
  <pageSetup paperSize="9" scale="7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7"/>
  <sheetViews>
    <sheetView topLeftCell="A398" zoomScaleNormal="100" workbookViewId="0">
      <selection activeCell="G398" sqref="G398"/>
    </sheetView>
  </sheetViews>
  <sheetFormatPr defaultRowHeight="15" x14ac:dyDescent="0.2"/>
  <cols>
    <col min="1" max="1" width="8.7109375" style="165" customWidth="1"/>
    <col min="2" max="2" width="9.140625" style="165" customWidth="1"/>
    <col min="3" max="3" width="67.7109375" style="16" customWidth="1"/>
    <col min="4" max="4" width="14.7109375" style="122" customWidth="1"/>
    <col min="5" max="5" width="14" style="122" customWidth="1"/>
    <col min="6" max="6" width="17.28515625" style="15" customWidth="1"/>
    <col min="7" max="7" width="15.42578125" style="287" customWidth="1"/>
    <col min="8" max="8" width="14.42578125" style="220" customWidth="1"/>
    <col min="9" max="9" width="15.28515625" style="10" customWidth="1"/>
    <col min="10" max="10" width="9.140625" style="9"/>
    <col min="13" max="13" width="10.28515625" style="9" bestFit="1" customWidth="1"/>
  </cols>
  <sheetData>
    <row r="1" spans="1:13" ht="18" x14ac:dyDescent="0.25">
      <c r="A1" s="320" t="s">
        <v>69</v>
      </c>
      <c r="B1" s="320"/>
      <c r="C1" s="320"/>
      <c r="D1" s="320"/>
      <c r="E1" s="320"/>
      <c r="F1" s="320"/>
      <c r="G1" s="320"/>
      <c r="H1" s="150"/>
    </row>
    <row r="2" spans="1:13" ht="18" x14ac:dyDescent="0.25">
      <c r="A2" s="234"/>
      <c r="B2" s="321" t="s">
        <v>333</v>
      </c>
      <c r="C2" s="321"/>
      <c r="D2" s="321"/>
      <c r="E2" s="321"/>
      <c r="F2" s="321"/>
      <c r="G2" s="321"/>
      <c r="H2" s="275" t="s">
        <v>390</v>
      </c>
    </row>
    <row r="3" spans="1:13" x14ac:dyDescent="0.2">
      <c r="A3" s="328"/>
      <c r="B3" s="328"/>
      <c r="C3" s="328"/>
      <c r="D3" s="328"/>
      <c r="E3" s="328"/>
      <c r="F3" s="328"/>
      <c r="G3" s="328"/>
      <c r="H3" s="276"/>
    </row>
    <row r="4" spans="1:13" ht="15.75" thickBot="1" x14ac:dyDescent="0.25">
      <c r="A4" s="30"/>
      <c r="B4" s="30"/>
      <c r="C4" s="18"/>
      <c r="D4" s="118"/>
      <c r="E4" s="118"/>
      <c r="F4" s="124"/>
      <c r="G4" s="151"/>
    </row>
    <row r="5" spans="1:13" s="1" customFormat="1" ht="15.75" x14ac:dyDescent="0.25">
      <c r="A5" s="19" t="s">
        <v>0</v>
      </c>
      <c r="B5" s="20" t="s">
        <v>1</v>
      </c>
      <c r="C5" s="21" t="s">
        <v>32</v>
      </c>
      <c r="D5" s="125" t="s">
        <v>179</v>
      </c>
      <c r="E5" s="125" t="s">
        <v>180</v>
      </c>
      <c r="F5" s="82" t="s">
        <v>116</v>
      </c>
      <c r="G5" s="277" t="s">
        <v>331</v>
      </c>
      <c r="H5" s="294" t="s">
        <v>331</v>
      </c>
      <c r="I5" s="91"/>
      <c r="J5" s="230"/>
      <c r="M5" s="274"/>
    </row>
    <row r="6" spans="1:13" ht="16.5" thickBot="1" x14ac:dyDescent="0.3">
      <c r="A6" s="83"/>
      <c r="B6" s="84"/>
      <c r="C6" s="85" t="s">
        <v>2</v>
      </c>
      <c r="D6" s="128" t="s">
        <v>3</v>
      </c>
      <c r="E6" s="128" t="s">
        <v>3</v>
      </c>
      <c r="F6" s="201" t="s">
        <v>326</v>
      </c>
      <c r="G6" s="278" t="s">
        <v>3</v>
      </c>
      <c r="H6" s="279" t="s">
        <v>3</v>
      </c>
    </row>
    <row r="7" spans="1:13" x14ac:dyDescent="0.2">
      <c r="A7" s="62">
        <v>2212</v>
      </c>
      <c r="B7" s="65">
        <v>5021</v>
      </c>
      <c r="C7" s="145" t="s">
        <v>17</v>
      </c>
      <c r="D7" s="129">
        <v>213</v>
      </c>
      <c r="E7" s="129">
        <v>213</v>
      </c>
      <c r="F7" s="238">
        <v>184431</v>
      </c>
      <c r="G7" s="266">
        <v>230</v>
      </c>
      <c r="H7" s="280"/>
    </row>
    <row r="8" spans="1:13" ht="30" x14ac:dyDescent="0.2">
      <c r="A8" s="66">
        <v>2212</v>
      </c>
      <c r="B8" s="67">
        <v>5031</v>
      </c>
      <c r="C8" s="64" t="s">
        <v>162</v>
      </c>
      <c r="D8" s="95">
        <v>40</v>
      </c>
      <c r="E8" s="95">
        <v>40</v>
      </c>
      <c r="F8" s="239">
        <v>33251</v>
      </c>
      <c r="G8" s="304">
        <v>48</v>
      </c>
      <c r="H8" s="281"/>
    </row>
    <row r="9" spans="1:13" x14ac:dyDescent="0.2">
      <c r="A9" s="66">
        <v>2212</v>
      </c>
      <c r="B9" s="67">
        <v>5032</v>
      </c>
      <c r="C9" s="64" t="s">
        <v>33</v>
      </c>
      <c r="D9" s="95">
        <v>15</v>
      </c>
      <c r="E9" s="95">
        <v>15</v>
      </c>
      <c r="F9" s="239">
        <v>12072</v>
      </c>
      <c r="G9" s="265">
        <v>18</v>
      </c>
      <c r="H9" s="283"/>
    </row>
    <row r="10" spans="1:13" x14ac:dyDescent="0.2">
      <c r="A10" s="66">
        <v>2212</v>
      </c>
      <c r="B10" s="67">
        <v>5132</v>
      </c>
      <c r="C10" s="64" t="s">
        <v>145</v>
      </c>
      <c r="D10" s="95">
        <v>3</v>
      </c>
      <c r="E10" s="95">
        <v>3</v>
      </c>
      <c r="F10" s="239">
        <v>0</v>
      </c>
      <c r="G10" s="265">
        <v>3</v>
      </c>
      <c r="H10" s="283"/>
    </row>
    <row r="11" spans="1:13" x14ac:dyDescent="0.2">
      <c r="A11" s="66">
        <v>2212</v>
      </c>
      <c r="B11" s="67">
        <v>5134</v>
      </c>
      <c r="C11" s="64" t="s">
        <v>205</v>
      </c>
      <c r="D11" s="95"/>
      <c r="E11" s="95"/>
      <c r="F11" s="239">
        <v>1570</v>
      </c>
      <c r="G11" s="265">
        <v>5</v>
      </c>
      <c r="H11" s="283"/>
    </row>
    <row r="12" spans="1:13" ht="30" x14ac:dyDescent="0.2">
      <c r="A12" s="66">
        <v>2212</v>
      </c>
      <c r="B12" s="67">
        <v>5137</v>
      </c>
      <c r="C12" s="64" t="s">
        <v>152</v>
      </c>
      <c r="D12" s="95">
        <v>30</v>
      </c>
      <c r="E12" s="95">
        <v>30</v>
      </c>
      <c r="F12" s="239">
        <v>1607</v>
      </c>
      <c r="G12" s="265">
        <v>30</v>
      </c>
      <c r="H12" s="283"/>
    </row>
    <row r="13" spans="1:13" ht="30" x14ac:dyDescent="0.2">
      <c r="A13" s="66">
        <v>2212</v>
      </c>
      <c r="B13" s="67">
        <v>5139</v>
      </c>
      <c r="C13" s="64" t="s">
        <v>121</v>
      </c>
      <c r="D13" s="95">
        <v>100</v>
      </c>
      <c r="E13" s="95">
        <v>100</v>
      </c>
      <c r="F13" s="239">
        <v>11160</v>
      </c>
      <c r="G13" s="265">
        <v>100</v>
      </c>
      <c r="H13" s="283"/>
    </row>
    <row r="14" spans="1:13" ht="30" x14ac:dyDescent="0.2">
      <c r="A14" s="66">
        <v>2212</v>
      </c>
      <c r="B14" s="67">
        <v>5154</v>
      </c>
      <c r="C14" s="64" t="s">
        <v>206</v>
      </c>
      <c r="D14" s="95">
        <v>20</v>
      </c>
      <c r="E14" s="95">
        <v>20</v>
      </c>
      <c r="F14" s="239">
        <v>0</v>
      </c>
      <c r="G14" s="265">
        <v>20</v>
      </c>
      <c r="H14" s="283"/>
    </row>
    <row r="15" spans="1:13" x14ac:dyDescent="0.2">
      <c r="A15" s="66">
        <v>2212</v>
      </c>
      <c r="B15" s="67">
        <v>5156</v>
      </c>
      <c r="C15" s="64" t="s">
        <v>21</v>
      </c>
      <c r="D15" s="95">
        <v>10</v>
      </c>
      <c r="E15" s="95">
        <v>10</v>
      </c>
      <c r="F15" s="239">
        <v>7445.49</v>
      </c>
      <c r="G15" s="265">
        <v>12</v>
      </c>
      <c r="H15" s="283"/>
    </row>
    <row r="16" spans="1:13" ht="30" x14ac:dyDescent="0.2">
      <c r="A16" s="66">
        <v>2212</v>
      </c>
      <c r="B16" s="67">
        <v>5164</v>
      </c>
      <c r="C16" s="64" t="s">
        <v>311</v>
      </c>
      <c r="D16" s="95">
        <v>11</v>
      </c>
      <c r="E16" s="95">
        <v>11</v>
      </c>
      <c r="F16" s="239">
        <v>14302.2</v>
      </c>
      <c r="G16" s="265">
        <v>11</v>
      </c>
      <c r="H16" s="283"/>
    </row>
    <row r="17" spans="1:9" ht="30" x14ac:dyDescent="0.2">
      <c r="A17" s="66">
        <v>2212</v>
      </c>
      <c r="B17" s="67">
        <v>5169</v>
      </c>
      <c r="C17" s="64" t="s">
        <v>114</v>
      </c>
      <c r="D17" s="95">
        <v>1500</v>
      </c>
      <c r="E17" s="95">
        <f>1500-200</f>
        <v>1300</v>
      </c>
      <c r="F17" s="239">
        <f>186099+3872+80446+28537+25562</f>
        <v>324516</v>
      </c>
      <c r="G17" s="265">
        <v>1500</v>
      </c>
      <c r="H17" s="283"/>
    </row>
    <row r="18" spans="1:9" ht="60" x14ac:dyDescent="0.2">
      <c r="A18" s="66">
        <v>2212</v>
      </c>
      <c r="B18" s="67">
        <v>5169</v>
      </c>
      <c r="C18" s="64" t="s">
        <v>130</v>
      </c>
      <c r="D18" s="95">
        <v>150</v>
      </c>
      <c r="E18" s="95">
        <v>150</v>
      </c>
      <c r="F18" s="239">
        <f>15941.75+14000+29965.65+68970</f>
        <v>128877.4</v>
      </c>
      <c r="G18" s="265">
        <v>150</v>
      </c>
      <c r="H18" s="283"/>
    </row>
    <row r="19" spans="1:9" s="9" customFormat="1" ht="60" x14ac:dyDescent="0.2">
      <c r="A19" s="66">
        <v>2212</v>
      </c>
      <c r="B19" s="67">
        <v>5169</v>
      </c>
      <c r="C19" s="64" t="s">
        <v>131</v>
      </c>
      <c r="D19" s="95">
        <v>500</v>
      </c>
      <c r="E19" s="95">
        <v>500</v>
      </c>
      <c r="F19" s="239">
        <f>313596.92+109961.17+59882.9</f>
        <v>483440.99</v>
      </c>
      <c r="G19" s="265">
        <v>500</v>
      </c>
      <c r="H19" s="283"/>
      <c r="I19" s="10"/>
    </row>
    <row r="20" spans="1:9" s="9" customFormat="1" ht="45" x14ac:dyDescent="0.2">
      <c r="A20" s="66">
        <v>2212</v>
      </c>
      <c r="B20" s="67">
        <v>5169</v>
      </c>
      <c r="C20" s="64" t="s">
        <v>338</v>
      </c>
      <c r="D20" s="95">
        <f>100+100</f>
        <v>200</v>
      </c>
      <c r="E20" s="95">
        <f>100+100</f>
        <v>200</v>
      </c>
      <c r="F20" s="239">
        <f>170186.5+22583.44</f>
        <v>192769.94</v>
      </c>
      <c r="G20" s="265">
        <v>200</v>
      </c>
      <c r="H20" s="283"/>
      <c r="I20" s="10"/>
    </row>
    <row r="21" spans="1:9" s="9" customFormat="1" ht="47.25" x14ac:dyDescent="0.25">
      <c r="A21" s="68"/>
      <c r="B21" s="69"/>
      <c r="C21" s="90" t="s">
        <v>339</v>
      </c>
      <c r="D21" s="95"/>
      <c r="E21" s="95"/>
      <c r="F21" s="239"/>
      <c r="G21" s="265">
        <v>0</v>
      </c>
      <c r="H21" s="283"/>
      <c r="I21" s="10"/>
    </row>
    <row r="22" spans="1:9" s="9" customFormat="1" ht="15.75" x14ac:dyDescent="0.25">
      <c r="A22" s="68"/>
      <c r="B22" s="69"/>
      <c r="C22" s="309" t="s">
        <v>348</v>
      </c>
      <c r="D22" s="95"/>
      <c r="E22" s="95"/>
      <c r="F22" s="239"/>
      <c r="G22" s="265"/>
      <c r="H22" s="283"/>
      <c r="I22" s="10"/>
    </row>
    <row r="23" spans="1:9" s="9" customFormat="1" ht="30" x14ac:dyDescent="0.2">
      <c r="A23" s="66">
        <v>2212</v>
      </c>
      <c r="B23" s="67">
        <v>5171</v>
      </c>
      <c r="C23" s="64" t="s">
        <v>341</v>
      </c>
      <c r="D23" s="95">
        <v>550</v>
      </c>
      <c r="E23" s="95">
        <v>550</v>
      </c>
      <c r="F23" s="239">
        <f>250923.75+190224.1+24200+48989.88</f>
        <v>514337.73</v>
      </c>
      <c r="G23" s="265">
        <v>500</v>
      </c>
      <c r="H23" s="283"/>
      <c r="I23" s="10"/>
    </row>
    <row r="24" spans="1:9" s="9" customFormat="1" x14ac:dyDescent="0.2">
      <c r="A24" s="66"/>
      <c r="B24" s="67"/>
      <c r="C24" s="64" t="s">
        <v>342</v>
      </c>
      <c r="D24" s="95">
        <v>250</v>
      </c>
      <c r="E24" s="95">
        <v>250</v>
      </c>
      <c r="F24" s="239">
        <f>120382.9+6760+9317+6050+1452+74052</f>
        <v>218013.9</v>
      </c>
      <c r="G24" s="265">
        <v>300</v>
      </c>
      <c r="H24" s="283"/>
      <c r="I24" s="10"/>
    </row>
    <row r="25" spans="1:9" s="9" customFormat="1" ht="30" x14ac:dyDescent="0.2">
      <c r="A25" s="66"/>
      <c r="B25" s="67"/>
      <c r="C25" s="64" t="s">
        <v>345</v>
      </c>
      <c r="D25" s="95">
        <v>150</v>
      </c>
      <c r="E25" s="95">
        <v>150</v>
      </c>
      <c r="F25" s="239">
        <f>22869+3872+3630</f>
        <v>30371</v>
      </c>
      <c r="G25" s="265">
        <v>200</v>
      </c>
      <c r="H25" s="283"/>
      <c r="I25" s="10"/>
    </row>
    <row r="26" spans="1:9" s="9" customFormat="1" x14ac:dyDescent="0.2">
      <c r="A26" s="66"/>
      <c r="B26" s="67"/>
      <c r="C26" s="64" t="s">
        <v>132</v>
      </c>
      <c r="D26" s="95">
        <v>50</v>
      </c>
      <c r="E26" s="95">
        <v>50</v>
      </c>
      <c r="F26" s="239">
        <v>0</v>
      </c>
      <c r="G26" s="265">
        <v>50</v>
      </c>
      <c r="H26" s="283"/>
      <c r="I26" s="10"/>
    </row>
    <row r="27" spans="1:9" s="9" customFormat="1" ht="30" x14ac:dyDescent="0.2">
      <c r="A27" s="66"/>
      <c r="B27" s="67"/>
      <c r="C27" s="64" t="s">
        <v>346</v>
      </c>
      <c r="D27" s="95"/>
      <c r="E27" s="95"/>
      <c r="F27" s="239"/>
      <c r="G27" s="265">
        <v>1000</v>
      </c>
      <c r="H27" s="283"/>
      <c r="I27" s="10"/>
    </row>
    <row r="28" spans="1:9" s="9" customFormat="1" ht="31.5" x14ac:dyDescent="0.25">
      <c r="A28" s="68"/>
      <c r="B28" s="69"/>
      <c r="C28" s="90" t="s">
        <v>340</v>
      </c>
      <c r="D28" s="95"/>
      <c r="E28" s="95"/>
      <c r="F28" s="239"/>
      <c r="G28" s="265"/>
      <c r="H28" s="283"/>
      <c r="I28" s="10"/>
    </row>
    <row r="29" spans="1:9" s="9" customFormat="1" ht="15.75" x14ac:dyDescent="0.25">
      <c r="A29" s="68"/>
      <c r="B29" s="69"/>
      <c r="C29" s="310" t="s">
        <v>347</v>
      </c>
      <c r="D29" s="95"/>
      <c r="E29" s="95"/>
      <c r="F29" s="239"/>
      <c r="G29" s="265"/>
      <c r="H29" s="283"/>
      <c r="I29" s="10"/>
    </row>
    <row r="30" spans="1:9" s="9" customFormat="1" ht="30" x14ac:dyDescent="0.2">
      <c r="A30" s="66">
        <v>2212</v>
      </c>
      <c r="B30" s="67">
        <v>5365</v>
      </c>
      <c r="C30" s="74" t="s">
        <v>118</v>
      </c>
      <c r="D30" s="95">
        <v>6</v>
      </c>
      <c r="E30" s="95">
        <v>6</v>
      </c>
      <c r="F30" s="239">
        <v>0</v>
      </c>
      <c r="G30" s="265">
        <v>6</v>
      </c>
      <c r="H30" s="283"/>
      <c r="I30" s="10"/>
    </row>
    <row r="31" spans="1:9" s="9" customFormat="1" ht="15.75" x14ac:dyDescent="0.25">
      <c r="A31" s="66"/>
      <c r="B31" s="67"/>
      <c r="C31" s="75" t="s">
        <v>200</v>
      </c>
      <c r="D31" s="202"/>
      <c r="E31" s="202"/>
      <c r="F31" s="239"/>
      <c r="G31" s="265">
        <v>0</v>
      </c>
      <c r="H31" s="283"/>
      <c r="I31" s="10"/>
    </row>
    <row r="32" spans="1:9" s="9" customFormat="1" ht="15.75" x14ac:dyDescent="0.25">
      <c r="A32" s="66">
        <v>2212</v>
      </c>
      <c r="B32" s="67">
        <v>6121</v>
      </c>
      <c r="C32" s="75" t="s">
        <v>108</v>
      </c>
      <c r="D32" s="202"/>
      <c r="E32" s="202"/>
      <c r="F32" s="239"/>
      <c r="G32" s="265">
        <v>0</v>
      </c>
      <c r="H32" s="283"/>
      <c r="I32" s="10"/>
    </row>
    <row r="33" spans="1:9" s="10" customFormat="1" ht="30" x14ac:dyDescent="0.2">
      <c r="A33" s="66"/>
      <c r="B33" s="67"/>
      <c r="C33" s="102" t="s">
        <v>207</v>
      </c>
      <c r="D33" s="203">
        <v>13500</v>
      </c>
      <c r="E33" s="203">
        <v>13500</v>
      </c>
      <c r="F33" s="273">
        <f>6000+36300+8506930.92+2359335.21+2222694.92</f>
        <v>13131261.049999999</v>
      </c>
      <c r="G33" s="305">
        <v>200</v>
      </c>
      <c r="H33" s="284"/>
    </row>
    <row r="34" spans="1:9" s="10" customFormat="1" ht="45" x14ac:dyDescent="0.2">
      <c r="A34" s="66"/>
      <c r="B34" s="67"/>
      <c r="C34" s="102" t="s">
        <v>343</v>
      </c>
      <c r="D34" s="203">
        <v>0</v>
      </c>
      <c r="E34" s="203">
        <v>301.8</v>
      </c>
      <c r="F34" s="273">
        <v>26816.26</v>
      </c>
      <c r="G34" s="305">
        <f>302-27</f>
        <v>275</v>
      </c>
      <c r="H34" s="284"/>
    </row>
    <row r="35" spans="1:9" s="10" customFormat="1" ht="30" x14ac:dyDescent="0.2">
      <c r="A35" s="66"/>
      <c r="B35" s="67"/>
      <c r="C35" s="102" t="s">
        <v>344</v>
      </c>
      <c r="D35" s="203">
        <v>1040</v>
      </c>
      <c r="E35" s="203">
        <f>1040-1040</f>
        <v>0</v>
      </c>
      <c r="F35" s="273">
        <v>0</v>
      </c>
      <c r="G35" s="305">
        <v>1035</v>
      </c>
      <c r="H35" s="284"/>
    </row>
    <row r="36" spans="1:9" s="10" customFormat="1" ht="30" x14ac:dyDescent="0.2">
      <c r="A36" s="66"/>
      <c r="B36" s="67"/>
      <c r="C36" s="102" t="s">
        <v>159</v>
      </c>
      <c r="D36" s="203">
        <v>0</v>
      </c>
      <c r="E36" s="203">
        <v>1035.0999999999999</v>
      </c>
      <c r="F36" s="273">
        <v>0</v>
      </c>
      <c r="G36" s="305">
        <v>0</v>
      </c>
      <c r="H36" s="284"/>
    </row>
    <row r="37" spans="1:9" s="10" customFormat="1" ht="15.75" x14ac:dyDescent="0.25">
      <c r="A37" s="66">
        <v>2212</v>
      </c>
      <c r="B37" s="67">
        <v>6121</v>
      </c>
      <c r="C37" s="75" t="s">
        <v>119</v>
      </c>
      <c r="D37" s="202"/>
      <c r="E37" s="202"/>
      <c r="F37" s="239"/>
      <c r="G37" s="265"/>
      <c r="H37" s="283"/>
    </row>
    <row r="38" spans="1:9" s="10" customFormat="1" ht="30" x14ac:dyDescent="0.2">
      <c r="A38" s="66"/>
      <c r="B38" s="67"/>
      <c r="C38" s="102" t="s">
        <v>329</v>
      </c>
      <c r="D38" s="203">
        <v>8000</v>
      </c>
      <c r="E38" s="203">
        <f>8000-6000</f>
        <v>2000</v>
      </c>
      <c r="F38" s="273">
        <v>0</v>
      </c>
      <c r="G38" s="305">
        <v>0</v>
      </c>
      <c r="H38" s="284"/>
    </row>
    <row r="39" spans="1:9" s="10" customFormat="1" x14ac:dyDescent="0.2">
      <c r="A39" s="66"/>
      <c r="B39" s="67"/>
      <c r="C39" s="102" t="s">
        <v>270</v>
      </c>
      <c r="D39" s="203">
        <v>0</v>
      </c>
      <c r="E39" s="203">
        <v>6500</v>
      </c>
      <c r="F39" s="273">
        <f>117370+29858+2194514.52</f>
        <v>2341742.52</v>
      </c>
      <c r="G39" s="305">
        <v>0</v>
      </c>
      <c r="H39" s="284"/>
    </row>
    <row r="40" spans="1:9" s="10" customFormat="1" ht="15.75" x14ac:dyDescent="0.25">
      <c r="A40" s="32">
        <v>2212</v>
      </c>
      <c r="B40" s="14"/>
      <c r="C40" s="76" t="s">
        <v>7</v>
      </c>
      <c r="D40" s="89">
        <f>SUM(D7:D39)</f>
        <v>26338</v>
      </c>
      <c r="E40" s="89">
        <f>SUM(E7:E39)</f>
        <v>26934.899999999998</v>
      </c>
      <c r="F40" s="249">
        <f>SUM(F7:F39)</f>
        <v>17657985.48</v>
      </c>
      <c r="G40" s="306">
        <f>SUM(G7:G39)</f>
        <v>6393</v>
      </c>
      <c r="H40" s="286">
        <f>G40</f>
        <v>6393</v>
      </c>
    </row>
    <row r="41" spans="1:9" s="10" customFormat="1" x14ac:dyDescent="0.2">
      <c r="A41" s="12"/>
      <c r="B41" s="14"/>
      <c r="C41" s="77"/>
      <c r="D41" s="95"/>
      <c r="E41" s="95"/>
      <c r="F41" s="239"/>
      <c r="G41" s="265"/>
      <c r="H41" s="283"/>
    </row>
    <row r="42" spans="1:9" s="10" customFormat="1" x14ac:dyDescent="0.2">
      <c r="A42" s="12">
        <v>2310</v>
      </c>
      <c r="B42" s="14">
        <v>5171</v>
      </c>
      <c r="C42" s="77" t="s">
        <v>6</v>
      </c>
      <c r="D42" s="95">
        <v>50</v>
      </c>
      <c r="E42" s="95">
        <v>50</v>
      </c>
      <c r="F42" s="239">
        <v>1863.4</v>
      </c>
      <c r="G42" s="265">
        <v>50</v>
      </c>
      <c r="H42" s="283"/>
    </row>
    <row r="43" spans="1:9" s="10" customFormat="1" ht="15.75" x14ac:dyDescent="0.25">
      <c r="A43" s="32">
        <v>2310</v>
      </c>
      <c r="B43" s="33"/>
      <c r="C43" s="76" t="s">
        <v>8</v>
      </c>
      <c r="D43" s="96">
        <f t="shared" ref="D43:G43" si="0">SUM(D42:D42)</f>
        <v>50</v>
      </c>
      <c r="E43" s="96">
        <f t="shared" si="0"/>
        <v>50</v>
      </c>
      <c r="F43" s="251">
        <f>SUM(F42:F42)</f>
        <v>1863.4</v>
      </c>
      <c r="G43" s="306">
        <f t="shared" si="0"/>
        <v>50</v>
      </c>
      <c r="H43" s="286">
        <f>G43</f>
        <v>50</v>
      </c>
    </row>
    <row r="44" spans="1:9" s="10" customFormat="1" x14ac:dyDescent="0.2">
      <c r="A44" s="12"/>
      <c r="B44" s="14"/>
      <c r="C44" s="77"/>
      <c r="D44" s="95"/>
      <c r="E44" s="95"/>
      <c r="F44" s="239"/>
      <c r="G44" s="265"/>
      <c r="H44" s="283"/>
    </row>
    <row r="45" spans="1:9" s="10" customFormat="1" x14ac:dyDescent="0.2">
      <c r="A45" s="12">
        <v>2321</v>
      </c>
      <c r="B45" s="14">
        <v>5139</v>
      </c>
      <c r="C45" s="77" t="s">
        <v>4</v>
      </c>
      <c r="D45" s="95">
        <v>10</v>
      </c>
      <c r="E45" s="95">
        <v>2</v>
      </c>
      <c r="F45" s="239">
        <v>0</v>
      </c>
      <c r="G45" s="265">
        <v>2</v>
      </c>
      <c r="H45" s="283"/>
    </row>
    <row r="46" spans="1:9" s="10" customFormat="1" x14ac:dyDescent="0.2">
      <c r="A46" s="12">
        <v>2321</v>
      </c>
      <c r="B46" s="14">
        <v>5169</v>
      </c>
      <c r="C46" s="77" t="s">
        <v>141</v>
      </c>
      <c r="D46" s="95">
        <v>25</v>
      </c>
      <c r="E46" s="95">
        <v>10</v>
      </c>
      <c r="F46" s="239">
        <v>9680</v>
      </c>
      <c r="G46" s="265">
        <v>10</v>
      </c>
      <c r="H46" s="283"/>
    </row>
    <row r="47" spans="1:9" s="9" customFormat="1" x14ac:dyDescent="0.2">
      <c r="A47" s="12">
        <v>2321</v>
      </c>
      <c r="B47" s="14">
        <v>5171</v>
      </c>
      <c r="C47" s="77" t="s">
        <v>133</v>
      </c>
      <c r="D47" s="95">
        <v>25</v>
      </c>
      <c r="E47" s="95">
        <v>48</v>
      </c>
      <c r="F47" s="239">
        <v>47676</v>
      </c>
      <c r="G47" s="265">
        <v>48</v>
      </c>
      <c r="H47" s="283"/>
      <c r="I47" s="10"/>
    </row>
    <row r="48" spans="1:9" s="9" customFormat="1" ht="15.75" x14ac:dyDescent="0.25">
      <c r="A48" s="32">
        <v>2321</v>
      </c>
      <c r="B48" s="33"/>
      <c r="C48" s="76" t="s">
        <v>9</v>
      </c>
      <c r="D48" s="89">
        <f>SUM(D45:D47)</f>
        <v>60</v>
      </c>
      <c r="E48" s="89">
        <f>SUM(E45:E47)</f>
        <v>60</v>
      </c>
      <c r="F48" s="249">
        <f>SUM(F45:F47)</f>
        <v>57356</v>
      </c>
      <c r="G48" s="307">
        <f>SUM(G45:G47)</f>
        <v>60</v>
      </c>
      <c r="H48" s="286">
        <f>G48</f>
        <v>60</v>
      </c>
      <c r="I48" s="10"/>
    </row>
    <row r="49" spans="1:9" s="9" customFormat="1" x14ac:dyDescent="0.2">
      <c r="A49" s="12"/>
      <c r="B49" s="14"/>
      <c r="C49" s="77"/>
      <c r="D49" s="95"/>
      <c r="E49" s="95"/>
      <c r="F49" s="239"/>
      <c r="G49" s="265"/>
      <c r="H49" s="283"/>
      <c r="I49" s="10"/>
    </row>
    <row r="50" spans="1:9" s="9" customFormat="1" x14ac:dyDescent="0.2">
      <c r="A50" s="12">
        <v>2334</v>
      </c>
      <c r="B50" s="63">
        <v>5139</v>
      </c>
      <c r="C50" s="77" t="s">
        <v>4</v>
      </c>
      <c r="D50" s="95">
        <v>5</v>
      </c>
      <c r="E50" s="95">
        <v>5</v>
      </c>
      <c r="F50" s="239">
        <v>0</v>
      </c>
      <c r="G50" s="265">
        <v>5</v>
      </c>
      <c r="H50" s="283"/>
      <c r="I50" s="10"/>
    </row>
    <row r="51" spans="1:9" s="9" customFormat="1" ht="30" x14ac:dyDescent="0.2">
      <c r="A51" s="66">
        <v>2334</v>
      </c>
      <c r="B51" s="67">
        <v>5154</v>
      </c>
      <c r="C51" s="74" t="s">
        <v>96</v>
      </c>
      <c r="D51" s="95">
        <v>5</v>
      </c>
      <c r="E51" s="95">
        <v>5</v>
      </c>
      <c r="F51" s="239">
        <v>0</v>
      </c>
      <c r="G51" s="265">
        <v>5</v>
      </c>
      <c r="H51" s="283"/>
      <c r="I51" s="10"/>
    </row>
    <row r="52" spans="1:9" s="9" customFormat="1" x14ac:dyDescent="0.2">
      <c r="A52" s="66">
        <v>2334</v>
      </c>
      <c r="B52" s="67">
        <v>5169</v>
      </c>
      <c r="C52" s="74" t="s">
        <v>154</v>
      </c>
      <c r="D52" s="95">
        <v>25</v>
      </c>
      <c r="E52" s="95">
        <v>25</v>
      </c>
      <c r="F52" s="239">
        <v>0</v>
      </c>
      <c r="G52" s="265">
        <v>25</v>
      </c>
      <c r="H52" s="283"/>
      <c r="I52" s="10"/>
    </row>
    <row r="53" spans="1:9" s="9" customFormat="1" x14ac:dyDescent="0.2">
      <c r="A53" s="66">
        <v>2334</v>
      </c>
      <c r="B53" s="67">
        <v>5171</v>
      </c>
      <c r="C53" s="74" t="s">
        <v>67</v>
      </c>
      <c r="D53" s="95">
        <v>15</v>
      </c>
      <c r="E53" s="95">
        <v>15</v>
      </c>
      <c r="F53" s="239">
        <v>3630</v>
      </c>
      <c r="G53" s="265">
        <v>15</v>
      </c>
      <c r="H53" s="283"/>
      <c r="I53" s="10"/>
    </row>
    <row r="54" spans="1:9" s="9" customFormat="1" ht="46.5" customHeight="1" x14ac:dyDescent="0.2">
      <c r="A54" s="66"/>
      <c r="B54" s="67"/>
      <c r="C54" s="74" t="s">
        <v>155</v>
      </c>
      <c r="D54" s="95">
        <v>100</v>
      </c>
      <c r="E54" s="95">
        <v>100</v>
      </c>
      <c r="F54" s="239">
        <v>0</v>
      </c>
      <c r="G54" s="265">
        <v>100</v>
      </c>
      <c r="H54" s="283"/>
      <c r="I54" s="10"/>
    </row>
    <row r="55" spans="1:9" s="9" customFormat="1" ht="30" customHeight="1" x14ac:dyDescent="0.2">
      <c r="A55" s="66">
        <v>2334</v>
      </c>
      <c r="B55" s="67">
        <v>6121</v>
      </c>
      <c r="C55" s="146" t="s">
        <v>201</v>
      </c>
      <c r="D55" s="203">
        <v>200</v>
      </c>
      <c r="E55" s="203">
        <v>200</v>
      </c>
      <c r="F55" s="273">
        <v>0</v>
      </c>
      <c r="G55" s="305">
        <v>200</v>
      </c>
      <c r="H55" s="284"/>
      <c r="I55" s="10"/>
    </row>
    <row r="56" spans="1:9" s="9" customFormat="1" ht="15.75" x14ac:dyDescent="0.25">
      <c r="A56" s="32">
        <v>2334</v>
      </c>
      <c r="B56" s="33"/>
      <c r="C56" s="76" t="s">
        <v>34</v>
      </c>
      <c r="D56" s="89">
        <f>SUM(D50:D55)</f>
        <v>350</v>
      </c>
      <c r="E56" s="89">
        <f>SUM(E50:E55)</f>
        <v>350</v>
      </c>
      <c r="F56" s="249">
        <f>SUM(F50:F55)</f>
        <v>3630</v>
      </c>
      <c r="G56" s="307">
        <f>SUM(G50:G55)</f>
        <v>350</v>
      </c>
      <c r="H56" s="286">
        <f>G56</f>
        <v>350</v>
      </c>
      <c r="I56" s="10"/>
    </row>
    <row r="57" spans="1:9" s="9" customFormat="1" x14ac:dyDescent="0.2">
      <c r="A57" s="12"/>
      <c r="B57" s="14"/>
      <c r="C57" s="77"/>
      <c r="D57" s="95"/>
      <c r="E57" s="95"/>
      <c r="F57" s="239"/>
      <c r="G57" s="265"/>
      <c r="H57" s="283"/>
      <c r="I57" s="10"/>
    </row>
    <row r="58" spans="1:9" s="9" customFormat="1" x14ac:dyDescent="0.2">
      <c r="A58" s="12">
        <v>3111</v>
      </c>
      <c r="B58" s="63">
        <v>5169</v>
      </c>
      <c r="C58" s="86" t="s">
        <v>38</v>
      </c>
      <c r="D58" s="95">
        <v>20</v>
      </c>
      <c r="E58" s="95">
        <v>20</v>
      </c>
      <c r="F58" s="239">
        <v>0</v>
      </c>
      <c r="G58" s="265">
        <v>0</v>
      </c>
      <c r="H58" s="283"/>
      <c r="I58" s="10"/>
    </row>
    <row r="59" spans="1:9" s="9" customFormat="1" x14ac:dyDescent="0.2">
      <c r="A59" s="66">
        <v>3111</v>
      </c>
      <c r="B59" s="67">
        <v>5171</v>
      </c>
      <c r="C59" s="64" t="s">
        <v>272</v>
      </c>
      <c r="D59" s="95">
        <v>0</v>
      </c>
      <c r="E59" s="95">
        <v>900</v>
      </c>
      <c r="F59" s="239">
        <v>705140</v>
      </c>
      <c r="G59" s="265">
        <v>0</v>
      </c>
      <c r="H59" s="283"/>
      <c r="I59" s="10"/>
    </row>
    <row r="60" spans="1:9" s="9" customFormat="1" ht="30" x14ac:dyDescent="0.2">
      <c r="A60" s="66">
        <v>3111</v>
      </c>
      <c r="B60" s="67">
        <v>5171</v>
      </c>
      <c r="C60" s="64" t="s">
        <v>385</v>
      </c>
      <c r="D60" s="95"/>
      <c r="E60" s="95"/>
      <c r="F60" s="239">
        <f>207483.73+146745.17-100000</f>
        <v>254228.90000000002</v>
      </c>
      <c r="G60" s="265"/>
      <c r="H60" s="283"/>
      <c r="I60" s="10"/>
    </row>
    <row r="61" spans="1:9" s="9" customFormat="1" x14ac:dyDescent="0.2">
      <c r="A61" s="66">
        <v>3111</v>
      </c>
      <c r="B61" s="67">
        <v>5194</v>
      </c>
      <c r="C61" s="64" t="s">
        <v>213</v>
      </c>
      <c r="D61" s="95">
        <v>8</v>
      </c>
      <c r="E61" s="95">
        <v>8</v>
      </c>
      <c r="F61" s="239">
        <v>4320</v>
      </c>
      <c r="G61" s="265">
        <v>8</v>
      </c>
      <c r="H61" s="283"/>
      <c r="I61" s="10"/>
    </row>
    <row r="62" spans="1:9" s="9" customFormat="1" ht="30" x14ac:dyDescent="0.2">
      <c r="A62" s="66">
        <v>3111</v>
      </c>
      <c r="B62" s="67">
        <v>5331</v>
      </c>
      <c r="C62" s="64" t="s">
        <v>66</v>
      </c>
      <c r="D62" s="95">
        <f>1513+60</f>
        <v>1573</v>
      </c>
      <c r="E62" s="95">
        <v>1573</v>
      </c>
      <c r="F62" s="239">
        <v>1310830</v>
      </c>
      <c r="G62" s="265">
        <v>1768</v>
      </c>
      <c r="H62" s="283"/>
      <c r="I62" s="10"/>
    </row>
    <row r="63" spans="1:9" s="9" customFormat="1" ht="30" x14ac:dyDescent="0.2">
      <c r="A63" s="66">
        <v>3111</v>
      </c>
      <c r="B63" s="67">
        <v>5331</v>
      </c>
      <c r="C63" s="64" t="s">
        <v>277</v>
      </c>
      <c r="D63" s="95">
        <v>0</v>
      </c>
      <c r="E63" s="95">
        <v>20</v>
      </c>
      <c r="F63" s="239">
        <v>11396</v>
      </c>
      <c r="G63" s="265">
        <v>0</v>
      </c>
      <c r="H63" s="283"/>
      <c r="I63" s="10"/>
    </row>
    <row r="64" spans="1:9" s="9" customFormat="1" ht="30" x14ac:dyDescent="0.2">
      <c r="A64" s="66">
        <v>3111</v>
      </c>
      <c r="B64" s="67">
        <v>5336</v>
      </c>
      <c r="C64" s="181" t="s">
        <v>264</v>
      </c>
      <c r="D64" s="95">
        <v>0</v>
      </c>
      <c r="E64" s="95">
        <v>522.9</v>
      </c>
      <c r="F64" s="239">
        <v>522900</v>
      </c>
      <c r="G64" s="265">
        <v>0</v>
      </c>
      <c r="H64" s="283"/>
      <c r="I64" s="10"/>
    </row>
    <row r="65" spans="1:13" s="9" customFormat="1" ht="30" x14ac:dyDescent="0.2">
      <c r="A65" s="66">
        <v>3111</v>
      </c>
      <c r="B65" s="67">
        <v>5336</v>
      </c>
      <c r="C65" s="64" t="s">
        <v>318</v>
      </c>
      <c r="D65" s="95">
        <v>0</v>
      </c>
      <c r="E65" s="95">
        <v>49.2</v>
      </c>
      <c r="F65" s="239">
        <v>49200</v>
      </c>
      <c r="G65" s="265">
        <v>0</v>
      </c>
      <c r="H65" s="283"/>
      <c r="I65" s="10"/>
    </row>
    <row r="66" spans="1:13" s="9" customFormat="1" ht="30" x14ac:dyDescent="0.2">
      <c r="A66" s="66">
        <v>3111</v>
      </c>
      <c r="B66" s="67">
        <v>5901</v>
      </c>
      <c r="C66" s="64" t="s">
        <v>312</v>
      </c>
      <c r="D66" s="95">
        <v>0</v>
      </c>
      <c r="E66" s="95">
        <f>596.9-49.2</f>
        <v>547.69999999999993</v>
      </c>
      <c r="F66" s="239">
        <v>0</v>
      </c>
      <c r="G66" s="265">
        <v>499</v>
      </c>
      <c r="H66" s="283"/>
      <c r="I66" s="10"/>
    </row>
    <row r="67" spans="1:13" s="9" customFormat="1" x14ac:dyDescent="0.2">
      <c r="A67" s="66">
        <v>3111</v>
      </c>
      <c r="B67" s="67">
        <v>6121</v>
      </c>
      <c r="C67" s="147" t="s">
        <v>349</v>
      </c>
      <c r="D67" s="203">
        <v>700</v>
      </c>
      <c r="E67" s="203">
        <f>700-700</f>
        <v>0</v>
      </c>
      <c r="F67" s="273">
        <v>0</v>
      </c>
      <c r="G67" s="311">
        <v>0</v>
      </c>
      <c r="H67" s="312"/>
      <c r="I67" s="10"/>
    </row>
    <row r="68" spans="1:13" s="9" customFormat="1" ht="45" x14ac:dyDescent="0.2">
      <c r="A68" s="66">
        <v>3111</v>
      </c>
      <c r="B68" s="67">
        <v>6121</v>
      </c>
      <c r="C68" s="147" t="s">
        <v>389</v>
      </c>
      <c r="D68" s="203"/>
      <c r="E68" s="203"/>
      <c r="F68" s="273"/>
      <c r="G68" s="305">
        <v>5000</v>
      </c>
      <c r="H68" s="284"/>
      <c r="I68" s="10"/>
    </row>
    <row r="69" spans="1:13" s="9" customFormat="1" ht="15.75" x14ac:dyDescent="0.25">
      <c r="A69" s="32">
        <v>3111</v>
      </c>
      <c r="B69" s="33"/>
      <c r="C69" s="76" t="s">
        <v>70</v>
      </c>
      <c r="D69" s="96">
        <f>SUM(D58:D68)</f>
        <v>2301</v>
      </c>
      <c r="E69" s="96">
        <f>SUM(E58:E68)</f>
        <v>3640.7999999999997</v>
      </c>
      <c r="F69" s="249">
        <f>SUM(F58:F68)</f>
        <v>2858014.9</v>
      </c>
      <c r="G69" s="306">
        <f>SUM(G58:G68)</f>
        <v>7275</v>
      </c>
      <c r="H69" s="286">
        <f>G69</f>
        <v>7275</v>
      </c>
      <c r="I69" s="10"/>
    </row>
    <row r="70" spans="1:13" ht="15.75" x14ac:dyDescent="0.25">
      <c r="A70" s="32"/>
      <c r="B70" s="33"/>
      <c r="C70" s="76"/>
      <c r="D70" s="95"/>
      <c r="E70" s="95"/>
      <c r="F70" s="251"/>
      <c r="G70" s="265"/>
      <c r="H70" s="283"/>
    </row>
    <row r="71" spans="1:13" ht="15.75" x14ac:dyDescent="0.25">
      <c r="A71" s="32">
        <v>3113</v>
      </c>
      <c r="B71" s="33"/>
      <c r="C71" s="76" t="s">
        <v>106</v>
      </c>
      <c r="D71" s="95"/>
      <c r="E71" s="95"/>
      <c r="F71" s="251"/>
      <c r="G71" s="265"/>
      <c r="H71" s="283"/>
    </row>
    <row r="72" spans="1:13" s="9" customFormat="1" x14ac:dyDescent="0.2">
      <c r="A72" s="66">
        <v>3113</v>
      </c>
      <c r="B72" s="67">
        <v>5131</v>
      </c>
      <c r="C72" s="64" t="s">
        <v>299</v>
      </c>
      <c r="D72" s="95">
        <v>0</v>
      </c>
      <c r="E72" s="95">
        <v>64.900000000000006</v>
      </c>
      <c r="F72" s="239">
        <v>64946.02</v>
      </c>
      <c r="G72" s="265">
        <v>0</v>
      </c>
      <c r="H72" s="283"/>
      <c r="I72" s="10"/>
    </row>
    <row r="73" spans="1:13" s="9" customFormat="1" ht="30" x14ac:dyDescent="0.2">
      <c r="A73" s="66">
        <v>3113</v>
      </c>
      <c r="B73" s="67">
        <v>5139</v>
      </c>
      <c r="C73" s="64" t="s">
        <v>300</v>
      </c>
      <c r="D73" s="95">
        <v>0</v>
      </c>
      <c r="E73" s="95">
        <v>19.3</v>
      </c>
      <c r="F73" s="239">
        <v>19300.77</v>
      </c>
      <c r="G73" s="265">
        <v>0</v>
      </c>
      <c r="H73" s="283"/>
      <c r="I73" s="10"/>
    </row>
    <row r="74" spans="1:13" s="9" customFormat="1" ht="30" x14ac:dyDescent="0.2">
      <c r="A74" s="66">
        <v>3113</v>
      </c>
      <c r="B74" s="67">
        <v>5169</v>
      </c>
      <c r="C74" s="64" t="s">
        <v>301</v>
      </c>
      <c r="D74" s="95">
        <v>0</v>
      </c>
      <c r="E74" s="95">
        <v>15.8</v>
      </c>
      <c r="F74" s="239">
        <v>15799</v>
      </c>
      <c r="G74" s="265">
        <v>0</v>
      </c>
      <c r="H74" s="283"/>
      <c r="I74" s="10"/>
    </row>
    <row r="75" spans="1:13" s="7" customFormat="1" ht="45" x14ac:dyDescent="0.2">
      <c r="A75" s="66">
        <v>3113</v>
      </c>
      <c r="B75" s="67">
        <v>5169</v>
      </c>
      <c r="C75" s="64" t="s">
        <v>350</v>
      </c>
      <c r="D75" s="95">
        <v>20</v>
      </c>
      <c r="E75" s="95">
        <f>20+48</f>
        <v>68</v>
      </c>
      <c r="F75" s="239">
        <f>7260+60500</f>
        <v>67760</v>
      </c>
      <c r="G75" s="265">
        <v>20</v>
      </c>
      <c r="H75" s="283"/>
      <c r="I75" s="10"/>
      <c r="J75" s="9"/>
      <c r="M75" s="9"/>
    </row>
    <row r="76" spans="1:13" s="7" customFormat="1" x14ac:dyDescent="0.2">
      <c r="A76" s="66">
        <v>3113</v>
      </c>
      <c r="B76" s="67">
        <v>5171</v>
      </c>
      <c r="C76" s="64" t="s">
        <v>6</v>
      </c>
      <c r="D76" s="95">
        <v>10</v>
      </c>
      <c r="E76" s="95">
        <v>10</v>
      </c>
      <c r="F76" s="239">
        <v>0</v>
      </c>
      <c r="G76" s="265">
        <v>10</v>
      </c>
      <c r="H76" s="283"/>
      <c r="I76" s="10"/>
      <c r="J76" s="9"/>
      <c r="M76" s="9"/>
    </row>
    <row r="77" spans="1:13" s="7" customFormat="1" ht="30" x14ac:dyDescent="0.2">
      <c r="A77" s="66">
        <v>3113</v>
      </c>
      <c r="B77" s="67">
        <v>5171</v>
      </c>
      <c r="C77" s="64" t="s">
        <v>313</v>
      </c>
      <c r="D77" s="95">
        <v>0</v>
      </c>
      <c r="E77" s="95">
        <f>4000-48</f>
        <v>3952</v>
      </c>
      <c r="F77" s="239">
        <f>497152.36+2114567.31</f>
        <v>2611719.67</v>
      </c>
      <c r="G77" s="265">
        <v>0</v>
      </c>
      <c r="H77" s="283"/>
      <c r="I77" s="10"/>
      <c r="J77" s="9"/>
      <c r="M77" s="9"/>
    </row>
    <row r="78" spans="1:13" s="7" customFormat="1" ht="30" x14ac:dyDescent="0.2">
      <c r="A78" s="66">
        <v>3113</v>
      </c>
      <c r="B78" s="67">
        <v>5194</v>
      </c>
      <c r="C78" s="64" t="s">
        <v>314</v>
      </c>
      <c r="D78" s="95">
        <v>35</v>
      </c>
      <c r="E78" s="95">
        <v>35</v>
      </c>
      <c r="F78" s="239">
        <f>16605+16539</f>
        <v>33144</v>
      </c>
      <c r="G78" s="265">
        <v>35</v>
      </c>
      <c r="H78" s="283"/>
      <c r="I78" s="10"/>
      <c r="J78" s="9"/>
      <c r="M78" s="9"/>
    </row>
    <row r="79" spans="1:13" s="7" customFormat="1" ht="30" x14ac:dyDescent="0.2">
      <c r="A79" s="66">
        <v>3113</v>
      </c>
      <c r="B79" s="67">
        <v>5331</v>
      </c>
      <c r="C79" s="64" t="s">
        <v>123</v>
      </c>
      <c r="D79" s="95">
        <v>4980</v>
      </c>
      <c r="E79" s="95">
        <v>4980</v>
      </c>
      <c r="F79" s="239">
        <v>4150000</v>
      </c>
      <c r="G79" s="265">
        <v>6260</v>
      </c>
      <c r="H79" s="283"/>
      <c r="I79" s="10"/>
      <c r="J79" s="9"/>
      <c r="M79" s="9"/>
    </row>
    <row r="80" spans="1:13" s="7" customFormat="1" ht="45" x14ac:dyDescent="0.2">
      <c r="A80" s="66">
        <v>3113</v>
      </c>
      <c r="B80" s="67">
        <v>5331</v>
      </c>
      <c r="C80" s="64" t="s">
        <v>319</v>
      </c>
      <c r="D80" s="95">
        <v>0</v>
      </c>
      <c r="E80" s="95">
        <v>1613</v>
      </c>
      <c r="F80" s="239">
        <v>1613000</v>
      </c>
      <c r="G80" s="265">
        <v>0</v>
      </c>
      <c r="H80" s="283"/>
      <c r="I80" s="10"/>
      <c r="J80" s="9"/>
      <c r="M80" s="9"/>
    </row>
    <row r="81" spans="1:13" s="7" customFormat="1" ht="30" x14ac:dyDescent="0.2">
      <c r="A81" s="66">
        <v>3113</v>
      </c>
      <c r="B81" s="67">
        <v>5336</v>
      </c>
      <c r="C81" s="181" t="s">
        <v>265</v>
      </c>
      <c r="D81" s="95">
        <v>0</v>
      </c>
      <c r="E81" s="95">
        <v>1837.3</v>
      </c>
      <c r="F81" s="239">
        <v>1837300</v>
      </c>
      <c r="G81" s="265">
        <v>0</v>
      </c>
      <c r="H81" s="283"/>
      <c r="I81" s="10"/>
      <c r="J81" s="9"/>
      <c r="M81" s="9"/>
    </row>
    <row r="82" spans="1:13" s="7" customFormat="1" x14ac:dyDescent="0.2">
      <c r="A82" s="66">
        <v>3113</v>
      </c>
      <c r="B82" s="67">
        <v>5336</v>
      </c>
      <c r="C82" s="181" t="s">
        <v>296</v>
      </c>
      <c r="D82" s="95">
        <v>0</v>
      </c>
      <c r="E82" s="95">
        <v>270</v>
      </c>
      <c r="F82" s="239">
        <v>270000</v>
      </c>
      <c r="G82" s="265">
        <v>0</v>
      </c>
      <c r="H82" s="283"/>
      <c r="I82" s="10"/>
      <c r="J82" s="9"/>
      <c r="M82" s="9"/>
    </row>
    <row r="83" spans="1:13" s="10" customFormat="1" x14ac:dyDescent="0.2">
      <c r="A83" s="66">
        <v>3113</v>
      </c>
      <c r="B83" s="67">
        <v>5336</v>
      </c>
      <c r="C83" s="116" t="s">
        <v>278</v>
      </c>
      <c r="D83" s="95">
        <v>0</v>
      </c>
      <c r="E83" s="95">
        <v>764</v>
      </c>
      <c r="F83" s="239">
        <v>381928.44</v>
      </c>
      <c r="G83" s="265">
        <v>0</v>
      </c>
      <c r="H83" s="283"/>
    </row>
    <row r="84" spans="1:13" s="10" customFormat="1" x14ac:dyDescent="0.2">
      <c r="A84" s="66">
        <v>3113</v>
      </c>
      <c r="B84" s="67">
        <v>5336</v>
      </c>
      <c r="C84" s="64" t="s">
        <v>279</v>
      </c>
      <c r="D84" s="95">
        <v>0</v>
      </c>
      <c r="E84" s="95">
        <v>764</v>
      </c>
      <c r="F84" s="298">
        <v>381928.43</v>
      </c>
      <c r="G84" s="265">
        <v>0</v>
      </c>
      <c r="H84" s="283"/>
    </row>
    <row r="85" spans="1:13" s="10" customFormat="1" x14ac:dyDescent="0.2">
      <c r="A85" s="66">
        <v>3113</v>
      </c>
      <c r="B85" s="67">
        <v>5336</v>
      </c>
      <c r="C85" s="116" t="s">
        <v>169</v>
      </c>
      <c r="D85" s="95">
        <v>0</v>
      </c>
      <c r="E85" s="95">
        <v>1423</v>
      </c>
      <c r="F85" s="239">
        <v>1159081.25</v>
      </c>
      <c r="G85" s="265">
        <v>0</v>
      </c>
      <c r="H85" s="283"/>
    </row>
    <row r="86" spans="1:13" s="10" customFormat="1" x14ac:dyDescent="0.2">
      <c r="A86" s="66"/>
      <c r="B86" s="67"/>
      <c r="C86" s="64" t="s">
        <v>170</v>
      </c>
      <c r="D86" s="95">
        <v>0</v>
      </c>
      <c r="E86" s="95">
        <v>1423</v>
      </c>
      <c r="F86" s="239">
        <v>1159081.25</v>
      </c>
      <c r="G86" s="265">
        <v>0</v>
      </c>
      <c r="H86" s="283"/>
    </row>
    <row r="87" spans="1:13" s="10" customFormat="1" x14ac:dyDescent="0.2">
      <c r="A87" s="66">
        <v>3113</v>
      </c>
      <c r="B87" s="67">
        <v>5336</v>
      </c>
      <c r="C87" s="181" t="s">
        <v>255</v>
      </c>
      <c r="D87" s="95">
        <v>0</v>
      </c>
      <c r="E87" s="95">
        <v>282.39999999999998</v>
      </c>
      <c r="F87" s="239">
        <v>188250</v>
      </c>
      <c r="G87" s="265">
        <v>0</v>
      </c>
      <c r="H87" s="283"/>
    </row>
    <row r="88" spans="1:13" s="10" customFormat="1" x14ac:dyDescent="0.2">
      <c r="A88" s="66">
        <v>3113</v>
      </c>
      <c r="B88" s="67">
        <v>5336</v>
      </c>
      <c r="C88" s="221" t="s">
        <v>256</v>
      </c>
      <c r="D88" s="95">
        <v>0</v>
      </c>
      <c r="E88" s="214">
        <v>353</v>
      </c>
      <c r="F88" s="298">
        <v>235312.5</v>
      </c>
      <c r="G88" s="265">
        <v>0</v>
      </c>
      <c r="H88" s="283"/>
    </row>
    <row r="89" spans="1:13" s="10" customFormat="1" x14ac:dyDescent="0.2">
      <c r="A89" s="66">
        <v>3113</v>
      </c>
      <c r="B89" s="67">
        <v>6356</v>
      </c>
      <c r="C89" s="221" t="s">
        <v>257</v>
      </c>
      <c r="D89" s="95">
        <v>0</v>
      </c>
      <c r="E89" s="214">
        <v>318</v>
      </c>
      <c r="F89" s="239">
        <v>211750</v>
      </c>
      <c r="G89" s="265">
        <v>0</v>
      </c>
      <c r="H89" s="283"/>
    </row>
    <row r="90" spans="1:13" s="10" customFormat="1" x14ac:dyDescent="0.2">
      <c r="A90" s="66">
        <v>3113</v>
      </c>
      <c r="B90" s="67">
        <v>6356</v>
      </c>
      <c r="C90" s="221" t="s">
        <v>258</v>
      </c>
      <c r="D90" s="95">
        <v>0</v>
      </c>
      <c r="E90" s="214">
        <v>397.5</v>
      </c>
      <c r="F90" s="239">
        <v>264687.5</v>
      </c>
      <c r="G90" s="265">
        <v>0</v>
      </c>
      <c r="H90" s="283"/>
    </row>
    <row r="91" spans="1:13" s="10" customFormat="1" ht="30" x14ac:dyDescent="0.2">
      <c r="A91" s="66">
        <v>3113</v>
      </c>
      <c r="B91" s="67">
        <v>5901</v>
      </c>
      <c r="C91" s="64" t="s">
        <v>312</v>
      </c>
      <c r="D91" s="95">
        <v>0</v>
      </c>
      <c r="E91" s="214">
        <v>1397.7</v>
      </c>
      <c r="F91" s="239">
        <v>287800</v>
      </c>
      <c r="G91" s="265">
        <v>1110</v>
      </c>
      <c r="H91" s="283"/>
    </row>
    <row r="92" spans="1:13" s="7" customFormat="1" x14ac:dyDescent="0.2">
      <c r="A92" s="66"/>
      <c r="B92" s="67"/>
      <c r="C92" s="64"/>
      <c r="D92" s="95"/>
      <c r="E92" s="95"/>
      <c r="F92" s="239"/>
      <c r="G92" s="265"/>
      <c r="H92" s="283"/>
      <c r="I92" s="10"/>
      <c r="J92" s="9"/>
      <c r="M92" s="9"/>
    </row>
    <row r="93" spans="1:13" s="7" customFormat="1" ht="15.75" x14ac:dyDescent="0.25">
      <c r="A93" s="66">
        <v>3113</v>
      </c>
      <c r="B93" s="67">
        <v>6121</v>
      </c>
      <c r="C93" s="127" t="s">
        <v>97</v>
      </c>
      <c r="D93" s="95"/>
      <c r="E93" s="95"/>
      <c r="F93" s="299"/>
      <c r="G93" s="265"/>
      <c r="H93" s="283"/>
      <c r="I93" s="10"/>
      <c r="J93" s="9"/>
      <c r="M93" s="9"/>
    </row>
    <row r="94" spans="1:13" s="9" customFormat="1" x14ac:dyDescent="0.2">
      <c r="A94" s="66">
        <v>3113</v>
      </c>
      <c r="B94" s="67">
        <v>6121</v>
      </c>
      <c r="C94" s="146" t="s">
        <v>172</v>
      </c>
      <c r="D94" s="205"/>
      <c r="E94" s="95"/>
      <c r="F94" s="239"/>
      <c r="G94" s="265"/>
      <c r="H94" s="283"/>
      <c r="I94" s="10"/>
    </row>
    <row r="95" spans="1:13" s="9" customFormat="1" x14ac:dyDescent="0.2">
      <c r="A95" s="66"/>
      <c r="B95" s="67"/>
      <c r="C95" s="146" t="s">
        <v>351</v>
      </c>
      <c r="D95" s="206">
        <v>15000</v>
      </c>
      <c r="E95" s="203">
        <f>15000-10000</f>
        <v>5000</v>
      </c>
      <c r="F95" s="273">
        <v>0</v>
      </c>
      <c r="G95" s="305">
        <v>25000</v>
      </c>
      <c r="H95" s="284"/>
      <c r="I95" s="10"/>
    </row>
    <row r="96" spans="1:13" s="7" customFormat="1" x14ac:dyDescent="0.2">
      <c r="A96" s="66"/>
      <c r="B96" s="67"/>
      <c r="C96" s="146" t="s">
        <v>208</v>
      </c>
      <c r="D96" s="206">
        <v>0</v>
      </c>
      <c r="E96" s="203">
        <v>14831.8</v>
      </c>
      <c r="F96" s="273">
        <v>0</v>
      </c>
      <c r="G96" s="305">
        <v>0</v>
      </c>
      <c r="H96" s="284"/>
      <c r="I96" s="10"/>
      <c r="J96" s="9"/>
      <c r="M96" s="9"/>
    </row>
    <row r="97" spans="1:13" s="7" customFormat="1" x14ac:dyDescent="0.2">
      <c r="A97" s="66">
        <v>3113</v>
      </c>
      <c r="B97" s="67">
        <v>6121</v>
      </c>
      <c r="C97" s="146" t="s">
        <v>199</v>
      </c>
      <c r="D97" s="206">
        <v>0</v>
      </c>
      <c r="E97" s="203">
        <v>10000</v>
      </c>
      <c r="F97" s="273">
        <v>0</v>
      </c>
      <c r="G97" s="305">
        <v>0</v>
      </c>
      <c r="H97" s="284"/>
      <c r="I97" s="10"/>
      <c r="J97" s="9"/>
      <c r="M97" s="9"/>
    </row>
    <row r="98" spans="1:13" s="7" customFormat="1" ht="15.75" x14ac:dyDescent="0.25">
      <c r="A98" s="35">
        <v>3113</v>
      </c>
      <c r="B98" s="36"/>
      <c r="C98" s="78" t="s">
        <v>60</v>
      </c>
      <c r="D98" s="96">
        <f>SUM(D72:D97)</f>
        <v>20045</v>
      </c>
      <c r="E98" s="96">
        <f>SUM(E72:E97)</f>
        <v>49819.7</v>
      </c>
      <c r="F98" s="249">
        <f>SUM(F72:F97)</f>
        <v>14952788.83</v>
      </c>
      <c r="G98" s="306">
        <f>SUM(G72:G97)</f>
        <v>32435</v>
      </c>
      <c r="H98" s="286">
        <f>G98</f>
        <v>32435</v>
      </c>
      <c r="I98" s="10"/>
      <c r="J98" s="9"/>
      <c r="M98" s="9"/>
    </row>
    <row r="99" spans="1:13" ht="15.75" x14ac:dyDescent="0.25">
      <c r="A99" s="32"/>
      <c r="B99" s="33"/>
      <c r="C99" s="76"/>
      <c r="D99" s="95"/>
      <c r="E99" s="95"/>
      <c r="F99" s="239"/>
      <c r="G99" s="265"/>
      <c r="H99" s="283"/>
    </row>
    <row r="100" spans="1:13" x14ac:dyDescent="0.2">
      <c r="A100" s="34">
        <v>3314</v>
      </c>
      <c r="B100" s="70">
        <v>5011</v>
      </c>
      <c r="C100" s="73" t="s">
        <v>14</v>
      </c>
      <c r="D100" s="95">
        <v>475</v>
      </c>
      <c r="E100" s="95">
        <v>475</v>
      </c>
      <c r="F100" s="239">
        <v>379454</v>
      </c>
      <c r="G100" s="265">
        <v>510</v>
      </c>
      <c r="H100" s="283"/>
    </row>
    <row r="101" spans="1:13" s="10" customFormat="1" x14ac:dyDescent="0.2">
      <c r="A101" s="71">
        <v>3314</v>
      </c>
      <c r="B101" s="72">
        <v>5021</v>
      </c>
      <c r="C101" s="148" t="s">
        <v>17</v>
      </c>
      <c r="D101" s="95">
        <v>30</v>
      </c>
      <c r="E101" s="95">
        <v>30</v>
      </c>
      <c r="F101" s="239">
        <v>7700</v>
      </c>
      <c r="G101" s="265">
        <v>30</v>
      </c>
      <c r="H101" s="283"/>
    </row>
    <row r="102" spans="1:13" s="10" customFormat="1" ht="30" x14ac:dyDescent="0.2">
      <c r="A102" s="71">
        <v>3314</v>
      </c>
      <c r="B102" s="72">
        <v>5031</v>
      </c>
      <c r="C102" s="64" t="s">
        <v>162</v>
      </c>
      <c r="D102" s="95">
        <v>119</v>
      </c>
      <c r="E102" s="95">
        <v>119</v>
      </c>
      <c r="F102" s="239">
        <v>94744</v>
      </c>
      <c r="G102" s="265">
        <v>127</v>
      </c>
      <c r="H102" s="283"/>
    </row>
    <row r="103" spans="1:13" s="10" customFormat="1" x14ac:dyDescent="0.2">
      <c r="A103" s="71">
        <v>3314</v>
      </c>
      <c r="B103" s="72">
        <v>5032</v>
      </c>
      <c r="C103" s="148" t="s">
        <v>33</v>
      </c>
      <c r="D103" s="95">
        <v>44</v>
      </c>
      <c r="E103" s="95">
        <v>44</v>
      </c>
      <c r="F103" s="239">
        <v>34382</v>
      </c>
      <c r="G103" s="265">
        <v>47</v>
      </c>
      <c r="H103" s="283"/>
    </row>
    <row r="104" spans="1:13" s="10" customFormat="1" x14ac:dyDescent="0.2">
      <c r="A104" s="71">
        <v>3314</v>
      </c>
      <c r="B104" s="72">
        <v>5136</v>
      </c>
      <c r="C104" s="64" t="s">
        <v>225</v>
      </c>
      <c r="D104" s="95">
        <v>56</v>
      </c>
      <c r="E104" s="95">
        <v>56</v>
      </c>
      <c r="F104" s="239">
        <f>40755+6806</f>
        <v>47561</v>
      </c>
      <c r="G104" s="265">
        <v>56</v>
      </c>
      <c r="H104" s="283"/>
    </row>
    <row r="105" spans="1:13" s="10" customFormat="1" x14ac:dyDescent="0.2">
      <c r="A105" s="71"/>
      <c r="B105" s="72"/>
      <c r="C105" s="148" t="s">
        <v>226</v>
      </c>
      <c r="D105" s="95">
        <v>0</v>
      </c>
      <c r="E105" s="95">
        <v>9.6</v>
      </c>
      <c r="F105" s="239">
        <v>9600</v>
      </c>
      <c r="G105" s="265">
        <v>0</v>
      </c>
      <c r="H105" s="283"/>
    </row>
    <row r="106" spans="1:13" s="10" customFormat="1" x14ac:dyDescent="0.2">
      <c r="A106" s="71">
        <v>3314</v>
      </c>
      <c r="B106" s="72">
        <v>5137</v>
      </c>
      <c r="C106" s="148" t="s">
        <v>36</v>
      </c>
      <c r="D106" s="95">
        <v>7</v>
      </c>
      <c r="E106" s="95">
        <v>7</v>
      </c>
      <c r="F106" s="239">
        <v>0</v>
      </c>
      <c r="G106" s="265">
        <v>15</v>
      </c>
      <c r="H106" s="283"/>
    </row>
    <row r="107" spans="1:13" s="10" customFormat="1" x14ac:dyDescent="0.2">
      <c r="A107" s="66">
        <v>3314</v>
      </c>
      <c r="B107" s="67">
        <v>5139</v>
      </c>
      <c r="C107" s="64" t="s">
        <v>120</v>
      </c>
      <c r="D107" s="95">
        <v>8</v>
      </c>
      <c r="E107" s="95">
        <v>8</v>
      </c>
      <c r="F107" s="239">
        <v>0</v>
      </c>
      <c r="G107" s="265">
        <v>8</v>
      </c>
      <c r="H107" s="283"/>
    </row>
    <row r="108" spans="1:13" s="10" customFormat="1" x14ac:dyDescent="0.2">
      <c r="A108" s="66">
        <v>3314</v>
      </c>
      <c r="B108" s="67">
        <v>5151</v>
      </c>
      <c r="C108" s="64" t="s">
        <v>10</v>
      </c>
      <c r="D108" s="95">
        <v>16</v>
      </c>
      <c r="E108" s="95">
        <v>16</v>
      </c>
      <c r="F108" s="239">
        <v>14740</v>
      </c>
      <c r="G108" s="265">
        <v>18</v>
      </c>
      <c r="H108" s="283"/>
    </row>
    <row r="109" spans="1:13" s="10" customFormat="1" x14ac:dyDescent="0.2">
      <c r="A109" s="66">
        <v>3314</v>
      </c>
      <c r="B109" s="67">
        <v>5153</v>
      </c>
      <c r="C109" s="64" t="s">
        <v>139</v>
      </c>
      <c r="D109" s="95">
        <v>120</v>
      </c>
      <c r="E109" s="95">
        <f>120+10</f>
        <v>130</v>
      </c>
      <c r="F109" s="239">
        <v>123300</v>
      </c>
      <c r="G109" s="265">
        <v>170</v>
      </c>
      <c r="H109" s="283"/>
    </row>
    <row r="110" spans="1:13" s="10" customFormat="1" x14ac:dyDescent="0.2">
      <c r="A110" s="66">
        <v>3314</v>
      </c>
      <c r="B110" s="67">
        <v>5154</v>
      </c>
      <c r="C110" s="64" t="s">
        <v>12</v>
      </c>
      <c r="D110" s="95">
        <v>45</v>
      </c>
      <c r="E110" s="95">
        <v>45</v>
      </c>
      <c r="F110" s="239">
        <v>14040</v>
      </c>
      <c r="G110" s="265">
        <v>45</v>
      </c>
      <c r="H110" s="283"/>
    </row>
    <row r="111" spans="1:13" s="10" customFormat="1" x14ac:dyDescent="0.2">
      <c r="A111" s="66">
        <v>3314</v>
      </c>
      <c r="B111" s="67">
        <v>5162</v>
      </c>
      <c r="C111" s="64" t="s">
        <v>112</v>
      </c>
      <c r="D111" s="95">
        <v>13</v>
      </c>
      <c r="E111" s="95">
        <v>13</v>
      </c>
      <c r="F111" s="239">
        <v>8734.75</v>
      </c>
      <c r="G111" s="265">
        <v>12</v>
      </c>
      <c r="H111" s="283"/>
    </row>
    <row r="112" spans="1:13" s="10" customFormat="1" x14ac:dyDescent="0.2">
      <c r="A112" s="66">
        <v>3314</v>
      </c>
      <c r="B112" s="67">
        <v>5168</v>
      </c>
      <c r="C112" s="64" t="s">
        <v>77</v>
      </c>
      <c r="D112" s="95">
        <v>20</v>
      </c>
      <c r="E112" s="95">
        <v>20</v>
      </c>
      <c r="F112" s="239">
        <f>10000+1250</f>
        <v>11250</v>
      </c>
      <c r="G112" s="265">
        <v>20</v>
      </c>
      <c r="H112" s="283"/>
    </row>
    <row r="113" spans="1:13" s="10" customFormat="1" x14ac:dyDescent="0.2">
      <c r="A113" s="66">
        <v>3314</v>
      </c>
      <c r="B113" s="67">
        <v>5169</v>
      </c>
      <c r="C113" s="64" t="s">
        <v>134</v>
      </c>
      <c r="D113" s="95">
        <v>25</v>
      </c>
      <c r="E113" s="95">
        <v>25</v>
      </c>
      <c r="F113" s="239">
        <v>5703.9</v>
      </c>
      <c r="G113" s="265">
        <v>25</v>
      </c>
      <c r="H113" s="283"/>
    </row>
    <row r="114" spans="1:13" s="10" customFormat="1" x14ac:dyDescent="0.2">
      <c r="A114" s="66">
        <v>3314</v>
      </c>
      <c r="B114" s="67">
        <v>5171</v>
      </c>
      <c r="C114" s="64" t="s">
        <v>109</v>
      </c>
      <c r="D114" s="95">
        <v>25</v>
      </c>
      <c r="E114" s="95">
        <v>25</v>
      </c>
      <c r="F114" s="239">
        <f>9376+6348</f>
        <v>15724</v>
      </c>
      <c r="G114" s="265">
        <v>25</v>
      </c>
      <c r="H114" s="283"/>
    </row>
    <row r="115" spans="1:13" s="10" customFormat="1" x14ac:dyDescent="0.2">
      <c r="A115" s="66">
        <v>3314</v>
      </c>
      <c r="B115" s="67">
        <v>5172</v>
      </c>
      <c r="C115" s="64" t="s">
        <v>230</v>
      </c>
      <c r="D115" s="95">
        <v>0</v>
      </c>
      <c r="E115" s="95">
        <v>0</v>
      </c>
      <c r="F115" s="239">
        <v>0</v>
      </c>
      <c r="G115" s="265">
        <v>7</v>
      </c>
      <c r="H115" s="283"/>
    </row>
    <row r="116" spans="1:13" s="3" customFormat="1" ht="15.75" x14ac:dyDescent="0.25">
      <c r="A116" s="32">
        <v>3314</v>
      </c>
      <c r="B116" s="33"/>
      <c r="C116" s="76" t="s">
        <v>15</v>
      </c>
      <c r="D116" s="89">
        <f>SUM(D100:D115)</f>
        <v>1003</v>
      </c>
      <c r="E116" s="89">
        <f>SUM(E100:E115)</f>
        <v>1022.6</v>
      </c>
      <c r="F116" s="249">
        <f>SUM(F100:F115)</f>
        <v>766933.65</v>
      </c>
      <c r="G116" s="307">
        <f>SUM(G100:G115)</f>
        <v>1115</v>
      </c>
      <c r="H116" s="286">
        <f>G116</f>
        <v>1115</v>
      </c>
      <c r="I116" s="10"/>
      <c r="J116" s="9"/>
      <c r="M116" s="9"/>
    </row>
    <row r="117" spans="1:13" s="3" customFormat="1" ht="15.75" x14ac:dyDescent="0.25">
      <c r="A117" s="32"/>
      <c r="B117" s="33"/>
      <c r="C117" s="77"/>
      <c r="D117" s="95"/>
      <c r="E117" s="95"/>
      <c r="F117" s="249"/>
      <c r="G117" s="265"/>
      <c r="H117" s="283"/>
      <c r="I117" s="10"/>
      <c r="J117" s="9"/>
      <c r="M117" s="9"/>
    </row>
    <row r="118" spans="1:13" s="10" customFormat="1" x14ac:dyDescent="0.2">
      <c r="A118" s="12">
        <v>3319</v>
      </c>
      <c r="B118" s="63">
        <v>5021</v>
      </c>
      <c r="C118" s="86" t="s">
        <v>17</v>
      </c>
      <c r="D118" s="95">
        <v>80</v>
      </c>
      <c r="E118" s="95">
        <v>80</v>
      </c>
      <c r="F118" s="239">
        <v>26475</v>
      </c>
      <c r="G118" s="265">
        <v>80</v>
      </c>
      <c r="H118" s="283"/>
    </row>
    <row r="119" spans="1:13" s="10" customFormat="1" x14ac:dyDescent="0.2">
      <c r="A119" s="66">
        <v>3319</v>
      </c>
      <c r="B119" s="67">
        <v>5041</v>
      </c>
      <c r="C119" s="64" t="s">
        <v>94</v>
      </c>
      <c r="D119" s="95">
        <v>3</v>
      </c>
      <c r="E119" s="95">
        <v>3</v>
      </c>
      <c r="F119" s="239">
        <v>0</v>
      </c>
      <c r="G119" s="265">
        <v>3</v>
      </c>
      <c r="H119" s="283"/>
    </row>
    <row r="120" spans="1:13" s="10" customFormat="1" x14ac:dyDescent="0.2">
      <c r="A120" s="66">
        <v>3319</v>
      </c>
      <c r="B120" s="67">
        <v>5137</v>
      </c>
      <c r="C120" s="64" t="s">
        <v>37</v>
      </c>
      <c r="D120" s="95">
        <v>20</v>
      </c>
      <c r="E120" s="95">
        <v>20</v>
      </c>
      <c r="F120" s="239">
        <v>0</v>
      </c>
      <c r="G120" s="265">
        <v>20</v>
      </c>
      <c r="H120" s="283"/>
    </row>
    <row r="121" spans="1:13" s="10" customFormat="1" x14ac:dyDescent="0.2">
      <c r="A121" s="66">
        <v>3319</v>
      </c>
      <c r="B121" s="67">
        <v>5139</v>
      </c>
      <c r="C121" s="64" t="s">
        <v>136</v>
      </c>
      <c r="D121" s="95">
        <v>10</v>
      </c>
      <c r="E121" s="95">
        <v>10</v>
      </c>
      <c r="F121" s="239">
        <v>16941.41</v>
      </c>
      <c r="G121" s="265">
        <v>20</v>
      </c>
      <c r="H121" s="283"/>
    </row>
    <row r="122" spans="1:13" s="10" customFormat="1" x14ac:dyDescent="0.2">
      <c r="A122" s="66">
        <v>3319</v>
      </c>
      <c r="B122" s="67">
        <v>5169</v>
      </c>
      <c r="C122" s="64" t="s">
        <v>254</v>
      </c>
      <c r="D122" s="95">
        <v>730</v>
      </c>
      <c r="E122" s="95">
        <f>730+70</f>
        <v>800</v>
      </c>
      <c r="F122" s="239">
        <f>866599-130000-42920-110000+5000+10000</f>
        <v>598679</v>
      </c>
      <c r="G122" s="265">
        <v>950</v>
      </c>
      <c r="H122" s="283"/>
    </row>
    <row r="123" spans="1:13" s="10" customFormat="1" x14ac:dyDescent="0.2">
      <c r="A123" s="66">
        <v>3319</v>
      </c>
      <c r="B123" s="67">
        <v>5169</v>
      </c>
      <c r="C123" s="64" t="s">
        <v>209</v>
      </c>
      <c r="D123" s="95">
        <v>130</v>
      </c>
      <c r="E123" s="95">
        <v>130</v>
      </c>
      <c r="F123" s="239">
        <v>130000</v>
      </c>
      <c r="G123" s="265">
        <v>130</v>
      </c>
      <c r="H123" s="283"/>
    </row>
    <row r="124" spans="1:13" s="10" customFormat="1" x14ac:dyDescent="0.2">
      <c r="A124" s="66">
        <v>3319</v>
      </c>
      <c r="B124" s="67">
        <v>5169</v>
      </c>
      <c r="C124" s="64" t="s">
        <v>137</v>
      </c>
      <c r="D124" s="95">
        <v>60</v>
      </c>
      <c r="E124" s="95">
        <v>60</v>
      </c>
      <c r="F124" s="239">
        <f>21460+21460</f>
        <v>42920</v>
      </c>
      <c r="G124" s="265">
        <v>60</v>
      </c>
      <c r="H124" s="283"/>
    </row>
    <row r="125" spans="1:13" s="10" customFormat="1" x14ac:dyDescent="0.2">
      <c r="A125" s="66">
        <v>3319</v>
      </c>
      <c r="B125" s="67">
        <v>5169</v>
      </c>
      <c r="C125" s="64" t="s">
        <v>210</v>
      </c>
      <c r="D125" s="95">
        <v>110</v>
      </c>
      <c r="E125" s="95">
        <v>110</v>
      </c>
      <c r="F125" s="239">
        <v>110000</v>
      </c>
      <c r="G125" s="265">
        <v>110</v>
      </c>
      <c r="H125" s="283"/>
    </row>
    <row r="126" spans="1:13" s="10" customFormat="1" x14ac:dyDescent="0.2">
      <c r="A126" s="66">
        <v>3319</v>
      </c>
      <c r="B126" s="67">
        <v>5175</v>
      </c>
      <c r="C126" s="64" t="s">
        <v>13</v>
      </c>
      <c r="D126" s="95">
        <v>10</v>
      </c>
      <c r="E126" s="95">
        <v>10</v>
      </c>
      <c r="F126" s="239">
        <v>337</v>
      </c>
      <c r="G126" s="265">
        <v>10</v>
      </c>
      <c r="H126" s="283"/>
    </row>
    <row r="127" spans="1:13" s="10" customFormat="1" x14ac:dyDescent="0.2">
      <c r="A127" s="66">
        <v>3319</v>
      </c>
      <c r="B127" s="67">
        <v>5179</v>
      </c>
      <c r="C127" s="64" t="s">
        <v>126</v>
      </c>
      <c r="D127" s="95">
        <v>3</v>
      </c>
      <c r="E127" s="95">
        <v>3</v>
      </c>
      <c r="F127" s="239">
        <v>0</v>
      </c>
      <c r="G127" s="265">
        <v>0</v>
      </c>
      <c r="H127" s="283"/>
    </row>
    <row r="128" spans="1:13" s="10" customFormat="1" ht="30" x14ac:dyDescent="0.2">
      <c r="A128" s="66">
        <v>3319</v>
      </c>
      <c r="B128" s="67">
        <v>5194</v>
      </c>
      <c r="C128" s="64" t="s">
        <v>315</v>
      </c>
      <c r="D128" s="95">
        <v>30</v>
      </c>
      <c r="E128" s="95">
        <v>30</v>
      </c>
      <c r="F128" s="239">
        <v>17285</v>
      </c>
      <c r="G128" s="265">
        <v>30</v>
      </c>
      <c r="H128" s="283"/>
    </row>
    <row r="129" spans="1:13" s="10" customFormat="1" ht="30" x14ac:dyDescent="0.2">
      <c r="A129" s="66">
        <v>3319</v>
      </c>
      <c r="B129" s="67">
        <v>5219</v>
      </c>
      <c r="C129" s="64" t="s">
        <v>138</v>
      </c>
      <c r="D129" s="95">
        <v>30</v>
      </c>
      <c r="E129" s="95">
        <v>30</v>
      </c>
      <c r="F129" s="239">
        <v>15000</v>
      </c>
      <c r="G129" s="265">
        <v>30</v>
      </c>
      <c r="H129" s="283"/>
    </row>
    <row r="130" spans="1:13" s="10" customFormat="1" ht="30" x14ac:dyDescent="0.2">
      <c r="A130" s="66">
        <v>3319</v>
      </c>
      <c r="B130" s="67">
        <v>5221</v>
      </c>
      <c r="C130" s="64" t="s">
        <v>352</v>
      </c>
      <c r="D130" s="95">
        <v>0</v>
      </c>
      <c r="E130" s="95">
        <v>0</v>
      </c>
      <c r="F130" s="239">
        <v>10000</v>
      </c>
      <c r="G130" s="265">
        <v>0</v>
      </c>
      <c r="H130" s="283"/>
    </row>
    <row r="131" spans="1:13" s="10" customFormat="1" x14ac:dyDescent="0.2">
      <c r="A131" s="66">
        <v>3319</v>
      </c>
      <c r="B131" s="67">
        <v>5222</v>
      </c>
      <c r="C131" s="64" t="s">
        <v>171</v>
      </c>
      <c r="D131" s="95">
        <v>22</v>
      </c>
      <c r="E131" s="95">
        <f>22-10</f>
        <v>12</v>
      </c>
      <c r="F131" s="239">
        <v>0</v>
      </c>
      <c r="G131" s="265">
        <v>32</v>
      </c>
      <c r="H131" s="283"/>
    </row>
    <row r="132" spans="1:13" s="10" customFormat="1" x14ac:dyDescent="0.2">
      <c r="A132" s="66">
        <v>3319</v>
      </c>
      <c r="B132" s="67">
        <v>5222</v>
      </c>
      <c r="C132" s="64" t="s">
        <v>235</v>
      </c>
      <c r="D132" s="95">
        <v>0</v>
      </c>
      <c r="E132" s="95">
        <v>10</v>
      </c>
      <c r="F132" s="239">
        <v>10000</v>
      </c>
      <c r="G132" s="265">
        <v>0</v>
      </c>
      <c r="H132" s="283"/>
    </row>
    <row r="133" spans="1:13" s="10" customFormat="1" x14ac:dyDescent="0.2">
      <c r="A133" s="66">
        <v>3319</v>
      </c>
      <c r="B133" s="67">
        <v>5492</v>
      </c>
      <c r="C133" s="64" t="s">
        <v>251</v>
      </c>
      <c r="D133" s="95">
        <v>10</v>
      </c>
      <c r="E133" s="95">
        <v>10</v>
      </c>
      <c r="F133" s="239">
        <v>15000</v>
      </c>
      <c r="G133" s="265">
        <v>15</v>
      </c>
      <c r="H133" s="283"/>
    </row>
    <row r="134" spans="1:13" s="10" customFormat="1" ht="30" x14ac:dyDescent="0.2">
      <c r="A134" s="66">
        <v>3319</v>
      </c>
      <c r="B134" s="67">
        <v>5499</v>
      </c>
      <c r="C134" s="64" t="s">
        <v>211</v>
      </c>
      <c r="D134" s="95">
        <v>300</v>
      </c>
      <c r="E134" s="95">
        <f>300+78.5-78.5</f>
        <v>300</v>
      </c>
      <c r="F134" s="239">
        <v>244080</v>
      </c>
      <c r="G134" s="265">
        <v>350</v>
      </c>
      <c r="H134" s="283"/>
    </row>
    <row r="135" spans="1:13" s="3" customFormat="1" ht="15.75" x14ac:dyDescent="0.25">
      <c r="A135" s="32">
        <v>3319</v>
      </c>
      <c r="B135" s="33"/>
      <c r="C135" s="76" t="s">
        <v>16</v>
      </c>
      <c r="D135" s="89">
        <f>SUM(D118:D134)</f>
        <v>1548</v>
      </c>
      <c r="E135" s="89">
        <f>SUM(E118:E134)</f>
        <v>1618</v>
      </c>
      <c r="F135" s="249">
        <f>SUM(F118:F134)</f>
        <v>1236717.4100000001</v>
      </c>
      <c r="G135" s="307">
        <f>SUM(G118:G134)</f>
        <v>1840</v>
      </c>
      <c r="H135" s="286">
        <f>G135</f>
        <v>1840</v>
      </c>
      <c r="I135" s="10"/>
      <c r="J135" s="9"/>
      <c r="M135" s="9"/>
    </row>
    <row r="136" spans="1:13" x14ac:dyDescent="0.2">
      <c r="A136" s="12"/>
      <c r="B136" s="14"/>
      <c r="C136" s="77"/>
      <c r="D136" s="95"/>
      <c r="E136" s="95"/>
      <c r="F136" s="239"/>
      <c r="G136" s="265"/>
      <c r="H136" s="283"/>
    </row>
    <row r="137" spans="1:13" x14ac:dyDescent="0.2">
      <c r="A137" s="12">
        <v>3322</v>
      </c>
      <c r="B137" s="14">
        <v>5171</v>
      </c>
      <c r="C137" s="77" t="s">
        <v>163</v>
      </c>
      <c r="D137" s="95">
        <v>200</v>
      </c>
      <c r="E137" s="95">
        <v>200</v>
      </c>
      <c r="F137" s="239">
        <v>105805.43</v>
      </c>
      <c r="G137" s="265">
        <v>200</v>
      </c>
      <c r="H137" s="283"/>
    </row>
    <row r="138" spans="1:13" ht="15.75" x14ac:dyDescent="0.25">
      <c r="A138" s="32">
        <v>3322</v>
      </c>
      <c r="B138" s="14"/>
      <c r="C138" s="76" t="s">
        <v>83</v>
      </c>
      <c r="D138" s="89">
        <f t="shared" ref="D138:G138" si="1">SUM(D137:D137)</f>
        <v>200</v>
      </c>
      <c r="E138" s="89">
        <f t="shared" si="1"/>
        <v>200</v>
      </c>
      <c r="F138" s="249">
        <f>SUM(F137:F137)</f>
        <v>105805.43</v>
      </c>
      <c r="G138" s="307">
        <f t="shared" si="1"/>
        <v>200</v>
      </c>
      <c r="H138" s="286">
        <f>G138</f>
        <v>200</v>
      </c>
    </row>
    <row r="139" spans="1:13" ht="15.75" x14ac:dyDescent="0.25">
      <c r="A139" s="32"/>
      <c r="B139" s="14"/>
      <c r="C139" s="76"/>
      <c r="D139" s="95"/>
      <c r="E139" s="95"/>
      <c r="F139" s="251"/>
      <c r="G139" s="265"/>
      <c r="H139" s="283"/>
    </row>
    <row r="140" spans="1:13" x14ac:dyDescent="0.2">
      <c r="A140" s="12">
        <v>3330</v>
      </c>
      <c r="B140" s="14">
        <v>5223</v>
      </c>
      <c r="C140" s="77" t="s">
        <v>271</v>
      </c>
      <c r="D140" s="95">
        <v>200</v>
      </c>
      <c r="E140" s="95">
        <f>200+200+400-400</f>
        <v>400</v>
      </c>
      <c r="F140" s="239">
        <v>400000</v>
      </c>
      <c r="G140" s="265">
        <v>0</v>
      </c>
      <c r="H140" s="283"/>
    </row>
    <row r="141" spans="1:13" ht="15.75" x14ac:dyDescent="0.25">
      <c r="A141" s="32">
        <v>3330</v>
      </c>
      <c r="B141" s="14"/>
      <c r="C141" s="76" t="s">
        <v>84</v>
      </c>
      <c r="D141" s="89">
        <f>SUM(D140:D140)</f>
        <v>200</v>
      </c>
      <c r="E141" s="89">
        <f>SUM(E140:E140)</f>
        <v>400</v>
      </c>
      <c r="F141" s="249">
        <f>SUM(F140:F140)</f>
        <v>400000</v>
      </c>
      <c r="G141" s="306">
        <f>SUM(G140)</f>
        <v>0</v>
      </c>
      <c r="H141" s="286">
        <f>G141</f>
        <v>0</v>
      </c>
    </row>
    <row r="142" spans="1:13" s="7" customFormat="1" ht="15.75" x14ac:dyDescent="0.25">
      <c r="A142" s="12"/>
      <c r="B142" s="33"/>
      <c r="C142" s="79"/>
      <c r="D142" s="95"/>
      <c r="E142" s="95"/>
      <c r="F142" s="251"/>
      <c r="G142" s="265"/>
      <c r="H142" s="283"/>
      <c r="I142" s="10"/>
      <c r="J142" s="9"/>
      <c r="M142" s="9"/>
    </row>
    <row r="143" spans="1:13" s="7" customFormat="1" ht="30" x14ac:dyDescent="0.2">
      <c r="A143" s="12">
        <v>3412</v>
      </c>
      <c r="B143" s="63">
        <v>5229</v>
      </c>
      <c r="C143" s="86" t="s">
        <v>282</v>
      </c>
      <c r="D143" s="95">
        <v>300</v>
      </c>
      <c r="E143" s="95">
        <v>300</v>
      </c>
      <c r="F143" s="239">
        <v>300000</v>
      </c>
      <c r="G143" s="265">
        <v>300</v>
      </c>
      <c r="H143" s="283"/>
      <c r="I143" s="10"/>
      <c r="J143" s="9"/>
      <c r="M143" s="9"/>
    </row>
    <row r="144" spans="1:13" s="7" customFormat="1" ht="45" x14ac:dyDescent="0.2">
      <c r="A144" s="66">
        <v>3412</v>
      </c>
      <c r="B144" s="67">
        <v>6121</v>
      </c>
      <c r="C144" s="149" t="s">
        <v>321</v>
      </c>
      <c r="D144" s="203">
        <v>25000</v>
      </c>
      <c r="E144" s="203">
        <v>25000</v>
      </c>
      <c r="F144" s="273">
        <f>682.5+34485</f>
        <v>35167.5</v>
      </c>
      <c r="G144" s="305">
        <v>30000</v>
      </c>
      <c r="H144" s="284"/>
      <c r="I144" s="10"/>
      <c r="J144" s="9"/>
      <c r="M144" s="9"/>
    </row>
    <row r="145" spans="1:13" s="5" customFormat="1" ht="15.75" x14ac:dyDescent="0.25">
      <c r="A145" s="35">
        <v>3412</v>
      </c>
      <c r="B145" s="36"/>
      <c r="C145" s="78" t="s">
        <v>56</v>
      </c>
      <c r="D145" s="96">
        <f>SUM(D143:D144)</f>
        <v>25300</v>
      </c>
      <c r="E145" s="96">
        <f>SUM(E143:E144)</f>
        <v>25300</v>
      </c>
      <c r="F145" s="251">
        <f>SUM(F143:F144)</f>
        <v>335167.5</v>
      </c>
      <c r="G145" s="306">
        <f>SUM(G143:G144)</f>
        <v>30300</v>
      </c>
      <c r="H145" s="286">
        <f>G145</f>
        <v>30300</v>
      </c>
      <c r="I145" s="10"/>
      <c r="J145" s="9"/>
      <c r="M145" s="9"/>
    </row>
    <row r="146" spans="1:13" s="7" customFormat="1" x14ac:dyDescent="0.2">
      <c r="A146" s="12"/>
      <c r="B146" s="14"/>
      <c r="C146" s="77"/>
      <c r="D146" s="95"/>
      <c r="E146" s="95"/>
      <c r="F146" s="239"/>
      <c r="G146" s="265"/>
      <c r="H146" s="283"/>
      <c r="I146" s="10"/>
      <c r="J146" s="9"/>
      <c r="M146" s="9"/>
    </row>
    <row r="147" spans="1:13" s="7" customFormat="1" x14ac:dyDescent="0.2">
      <c r="A147" s="12">
        <v>3419</v>
      </c>
      <c r="B147" s="63">
        <v>5222</v>
      </c>
      <c r="C147" s="86" t="s">
        <v>167</v>
      </c>
      <c r="D147" s="95">
        <v>250</v>
      </c>
      <c r="E147" s="95">
        <f>250-200-50</f>
        <v>0</v>
      </c>
      <c r="F147" s="239">
        <v>0</v>
      </c>
      <c r="G147" s="265">
        <v>240</v>
      </c>
      <c r="H147" s="283"/>
      <c r="I147" s="10"/>
      <c r="J147" s="9"/>
      <c r="M147" s="9"/>
    </row>
    <row r="148" spans="1:13" s="7" customFormat="1" x14ac:dyDescent="0.2">
      <c r="A148" s="66">
        <v>3419</v>
      </c>
      <c r="B148" s="67">
        <v>5222</v>
      </c>
      <c r="C148" s="64" t="s">
        <v>280</v>
      </c>
      <c r="D148" s="214">
        <v>0</v>
      </c>
      <c r="E148" s="215">
        <v>200</v>
      </c>
      <c r="F148" s="300">
        <v>200000</v>
      </c>
      <c r="G148" s="265">
        <v>0</v>
      </c>
      <c r="H148" s="283"/>
      <c r="I148" s="10"/>
      <c r="J148" s="9"/>
      <c r="M148" s="9"/>
    </row>
    <row r="149" spans="1:13" s="7" customFormat="1" ht="30" x14ac:dyDescent="0.2">
      <c r="A149" s="66">
        <v>3419</v>
      </c>
      <c r="B149" s="67">
        <v>5222</v>
      </c>
      <c r="C149" s="64" t="s">
        <v>353</v>
      </c>
      <c r="D149" s="214"/>
      <c r="E149" s="215">
        <v>50</v>
      </c>
      <c r="F149" s="300">
        <f>20000+10000</f>
        <v>30000</v>
      </c>
      <c r="G149" s="265">
        <v>0</v>
      </c>
      <c r="H149" s="283"/>
      <c r="I149" s="10"/>
      <c r="J149" s="9"/>
      <c r="M149" s="9"/>
    </row>
    <row r="150" spans="1:13" s="7" customFormat="1" ht="30" x14ac:dyDescent="0.2">
      <c r="A150" s="66">
        <v>3419</v>
      </c>
      <c r="B150" s="67">
        <v>5339</v>
      </c>
      <c r="C150" s="64" t="s">
        <v>354</v>
      </c>
      <c r="D150" s="95">
        <v>0</v>
      </c>
      <c r="E150" s="213">
        <v>0</v>
      </c>
      <c r="F150" s="301">
        <v>10000</v>
      </c>
      <c r="G150" s="265">
        <v>10</v>
      </c>
      <c r="H150" s="283"/>
      <c r="I150" s="10"/>
      <c r="J150" s="9"/>
      <c r="M150" s="9"/>
    </row>
    <row r="151" spans="1:13" s="7" customFormat="1" x14ac:dyDescent="0.2">
      <c r="A151" s="66">
        <v>3419</v>
      </c>
      <c r="B151" s="67">
        <v>5229</v>
      </c>
      <c r="C151" s="64" t="s">
        <v>252</v>
      </c>
      <c r="D151" s="95">
        <v>200</v>
      </c>
      <c r="E151" s="95">
        <v>0</v>
      </c>
      <c r="F151" s="239">
        <v>0</v>
      </c>
      <c r="G151" s="265">
        <v>200</v>
      </c>
      <c r="H151" s="283"/>
      <c r="I151" s="10"/>
      <c r="J151" s="9"/>
      <c r="M151" s="9"/>
    </row>
    <row r="152" spans="1:13" s="7" customFormat="1" ht="30" x14ac:dyDescent="0.2">
      <c r="A152" s="66">
        <v>3419</v>
      </c>
      <c r="B152" s="67">
        <v>5229</v>
      </c>
      <c r="C152" s="64" t="s">
        <v>253</v>
      </c>
      <c r="D152" s="95">
        <v>0</v>
      </c>
      <c r="E152" s="95">
        <v>200</v>
      </c>
      <c r="F152" s="239">
        <v>200000</v>
      </c>
      <c r="G152" s="265">
        <v>0</v>
      </c>
      <c r="H152" s="283"/>
      <c r="I152" s="10"/>
      <c r="J152" s="9"/>
      <c r="M152" s="9"/>
    </row>
    <row r="153" spans="1:13" s="5" customFormat="1" ht="15.75" x14ac:dyDescent="0.25">
      <c r="A153" s="35">
        <v>3419</v>
      </c>
      <c r="B153" s="36"/>
      <c r="C153" s="78" t="s">
        <v>157</v>
      </c>
      <c r="D153" s="96">
        <f>SUM(D147:D152)</f>
        <v>450</v>
      </c>
      <c r="E153" s="96">
        <f>SUM(E147:E152)</f>
        <v>450</v>
      </c>
      <c r="F153" s="251">
        <f>SUM(F147:F152)</f>
        <v>440000</v>
      </c>
      <c r="G153" s="306">
        <f>SUM(G147:G152)</f>
        <v>450</v>
      </c>
      <c r="H153" s="286">
        <f>G153</f>
        <v>450</v>
      </c>
      <c r="I153" s="10"/>
      <c r="J153" s="9"/>
      <c r="M153" s="9"/>
    </row>
    <row r="154" spans="1:13" s="7" customFormat="1" x14ac:dyDescent="0.2">
      <c r="A154" s="12"/>
      <c r="B154" s="14"/>
      <c r="C154" s="77"/>
      <c r="D154" s="95"/>
      <c r="E154" s="95"/>
      <c r="F154" s="239"/>
      <c r="G154" s="265"/>
      <c r="H154" s="283"/>
      <c r="I154" s="10"/>
      <c r="J154" s="9"/>
      <c r="M154" s="9"/>
    </row>
    <row r="155" spans="1:13" s="7" customFormat="1" x14ac:dyDescent="0.2">
      <c r="A155" s="66">
        <v>3421</v>
      </c>
      <c r="B155" s="67">
        <v>5137</v>
      </c>
      <c r="C155" s="64" t="s">
        <v>173</v>
      </c>
      <c r="D155" s="95">
        <v>100</v>
      </c>
      <c r="E155" s="95">
        <v>100</v>
      </c>
      <c r="F155" s="239">
        <v>0</v>
      </c>
      <c r="G155" s="265">
        <v>50</v>
      </c>
      <c r="H155" s="283"/>
      <c r="I155" s="10"/>
      <c r="J155" s="9"/>
      <c r="M155" s="9"/>
    </row>
    <row r="156" spans="1:13" s="7" customFormat="1" x14ac:dyDescent="0.2">
      <c r="A156" s="66">
        <v>3421</v>
      </c>
      <c r="B156" s="67">
        <v>5139</v>
      </c>
      <c r="C156" s="64" t="s">
        <v>4</v>
      </c>
      <c r="D156" s="95">
        <v>0</v>
      </c>
      <c r="E156" s="95">
        <v>0</v>
      </c>
      <c r="F156" s="239">
        <v>133.1</v>
      </c>
      <c r="G156" s="265">
        <v>10</v>
      </c>
      <c r="H156" s="283"/>
      <c r="I156" s="10"/>
      <c r="J156" s="9"/>
      <c r="M156" s="9"/>
    </row>
    <row r="157" spans="1:13" s="7" customFormat="1" x14ac:dyDescent="0.2">
      <c r="A157" s="66">
        <v>3421</v>
      </c>
      <c r="B157" s="67">
        <v>5169</v>
      </c>
      <c r="C157" s="64" t="s">
        <v>358</v>
      </c>
      <c r="D157" s="95"/>
      <c r="E157" s="95"/>
      <c r="F157" s="239"/>
      <c r="G157" s="265">
        <v>65</v>
      </c>
      <c r="H157" s="283"/>
      <c r="I157" s="10"/>
      <c r="J157" s="9"/>
      <c r="M157" s="9"/>
    </row>
    <row r="158" spans="1:13" s="7" customFormat="1" ht="30" x14ac:dyDescent="0.2">
      <c r="A158" s="66">
        <v>3421</v>
      </c>
      <c r="B158" s="67">
        <v>5171</v>
      </c>
      <c r="C158" s="64" t="s">
        <v>357</v>
      </c>
      <c r="D158" s="95">
        <v>200</v>
      </c>
      <c r="E158" s="95">
        <v>200</v>
      </c>
      <c r="F158" s="239">
        <v>200000</v>
      </c>
      <c r="G158" s="265">
        <v>250</v>
      </c>
      <c r="H158" s="283"/>
      <c r="I158" s="10"/>
      <c r="J158" s="9"/>
      <c r="M158" s="9"/>
    </row>
    <row r="159" spans="1:13" s="7" customFormat="1" ht="30" x14ac:dyDescent="0.2">
      <c r="A159" s="66">
        <v>3421</v>
      </c>
      <c r="B159" s="67">
        <v>5171</v>
      </c>
      <c r="C159" s="64" t="s">
        <v>360</v>
      </c>
      <c r="D159" s="95">
        <v>50</v>
      </c>
      <c r="E159" s="95">
        <f>50+48.5+(200-143.5)</f>
        <v>155</v>
      </c>
      <c r="F159" s="239">
        <f>3630+21054+79253.79+24638.02+27938.9</f>
        <v>156514.71</v>
      </c>
      <c r="G159" s="265">
        <v>0</v>
      </c>
      <c r="H159" s="283"/>
      <c r="I159" s="10"/>
      <c r="J159" s="9"/>
      <c r="M159" s="9"/>
    </row>
    <row r="160" spans="1:13" s="7" customFormat="1" x14ac:dyDescent="0.2">
      <c r="A160" s="66">
        <v>3421</v>
      </c>
      <c r="B160" s="67">
        <v>5229</v>
      </c>
      <c r="C160" s="64" t="s">
        <v>359</v>
      </c>
      <c r="D160" s="95">
        <v>20</v>
      </c>
      <c r="E160" s="95">
        <v>20</v>
      </c>
      <c r="F160" s="239">
        <v>20000</v>
      </c>
      <c r="G160" s="265">
        <v>20</v>
      </c>
      <c r="H160" s="283"/>
      <c r="I160" s="10"/>
      <c r="J160" s="9"/>
      <c r="M160" s="9"/>
    </row>
    <row r="161" spans="1:13" s="7" customFormat="1" ht="45" x14ac:dyDescent="0.2">
      <c r="A161" s="66">
        <v>3421</v>
      </c>
      <c r="B161" s="67">
        <v>6121</v>
      </c>
      <c r="C161" s="146" t="s">
        <v>281</v>
      </c>
      <c r="D161" s="203">
        <v>400</v>
      </c>
      <c r="E161" s="203">
        <f>400+200</f>
        <v>600</v>
      </c>
      <c r="F161" s="273">
        <v>347428.24</v>
      </c>
      <c r="G161" s="305">
        <v>400</v>
      </c>
      <c r="H161" s="284"/>
      <c r="I161" s="10"/>
      <c r="J161" s="9"/>
      <c r="M161" s="9"/>
    </row>
    <row r="162" spans="1:13" s="5" customFormat="1" ht="15.75" x14ac:dyDescent="0.25">
      <c r="A162" s="35">
        <v>3421</v>
      </c>
      <c r="B162" s="36"/>
      <c r="C162" s="78" t="s">
        <v>54</v>
      </c>
      <c r="D162" s="96">
        <f>SUM(D155:D161)</f>
        <v>770</v>
      </c>
      <c r="E162" s="96">
        <f>SUM(E155:E161)</f>
        <v>1075</v>
      </c>
      <c r="F162" s="251">
        <f>SUM(F155:F161)</f>
        <v>724076.05</v>
      </c>
      <c r="G162" s="306">
        <f>SUM(G155:G161)</f>
        <v>795</v>
      </c>
      <c r="H162" s="286">
        <f>G162</f>
        <v>795</v>
      </c>
      <c r="I162" s="10"/>
      <c r="J162" s="9"/>
      <c r="M162" s="9"/>
    </row>
    <row r="163" spans="1:13" s="7" customFormat="1" x14ac:dyDescent="0.2">
      <c r="A163" s="12"/>
      <c r="B163" s="14"/>
      <c r="C163" s="77"/>
      <c r="D163" s="95"/>
      <c r="E163" s="95"/>
      <c r="F163" s="239"/>
      <c r="G163" s="265"/>
      <c r="H163" s="283"/>
      <c r="I163" s="10"/>
      <c r="J163" s="9"/>
      <c r="M163" s="9"/>
    </row>
    <row r="164" spans="1:13" s="7" customFormat="1" ht="30" x14ac:dyDescent="0.2">
      <c r="A164" s="12">
        <v>3599</v>
      </c>
      <c r="B164" s="63">
        <v>5137</v>
      </c>
      <c r="C164" s="86" t="s">
        <v>98</v>
      </c>
      <c r="D164" s="95">
        <v>20</v>
      </c>
      <c r="E164" s="95">
        <v>20</v>
      </c>
      <c r="F164" s="239">
        <v>0</v>
      </c>
      <c r="G164" s="265">
        <v>20</v>
      </c>
      <c r="H164" s="283"/>
      <c r="I164" s="10"/>
      <c r="J164" s="9"/>
      <c r="M164" s="9"/>
    </row>
    <row r="165" spans="1:13" s="7" customFormat="1" ht="30" x14ac:dyDescent="0.2">
      <c r="A165" s="66">
        <v>3599</v>
      </c>
      <c r="B165" s="67">
        <v>5221</v>
      </c>
      <c r="C165" s="64" t="s">
        <v>355</v>
      </c>
      <c r="D165" s="95">
        <v>5</v>
      </c>
      <c r="E165" s="95">
        <v>5</v>
      </c>
      <c r="F165" s="239">
        <v>5000</v>
      </c>
      <c r="G165" s="265">
        <v>5</v>
      </c>
      <c r="H165" s="283"/>
      <c r="I165" s="10"/>
      <c r="J165" s="9"/>
      <c r="M165" s="9"/>
    </row>
    <row r="166" spans="1:13" s="7" customFormat="1" ht="45" x14ac:dyDescent="0.2">
      <c r="A166" s="66">
        <v>3599</v>
      </c>
      <c r="B166" s="67">
        <v>5221</v>
      </c>
      <c r="C166" s="64" t="s">
        <v>356</v>
      </c>
      <c r="D166" s="95">
        <v>5</v>
      </c>
      <c r="E166" s="95">
        <v>5</v>
      </c>
      <c r="F166" s="239">
        <v>3000</v>
      </c>
      <c r="G166" s="265">
        <v>5</v>
      </c>
      <c r="H166" s="283"/>
      <c r="I166" s="10"/>
      <c r="J166" s="9"/>
      <c r="M166" s="9"/>
    </row>
    <row r="167" spans="1:13" s="7" customFormat="1" ht="30" x14ac:dyDescent="0.2">
      <c r="A167" s="66">
        <v>3599</v>
      </c>
      <c r="B167" s="67">
        <v>5339</v>
      </c>
      <c r="C167" s="64" t="s">
        <v>122</v>
      </c>
      <c r="D167" s="95">
        <v>10</v>
      </c>
      <c r="E167" s="95">
        <v>10</v>
      </c>
      <c r="F167" s="239">
        <v>0</v>
      </c>
      <c r="G167" s="265">
        <v>10</v>
      </c>
      <c r="H167" s="283"/>
      <c r="I167" s="10"/>
      <c r="J167" s="9"/>
      <c r="M167" s="9"/>
    </row>
    <row r="168" spans="1:13" s="7" customFormat="1" ht="30" x14ac:dyDescent="0.2">
      <c r="A168" s="66">
        <v>3599</v>
      </c>
      <c r="B168" s="67">
        <v>5492</v>
      </c>
      <c r="C168" s="64" t="s">
        <v>115</v>
      </c>
      <c r="D168" s="95">
        <v>5</v>
      </c>
      <c r="E168" s="95">
        <v>5</v>
      </c>
      <c r="F168" s="239">
        <v>0</v>
      </c>
      <c r="G168" s="265">
        <v>5</v>
      </c>
      <c r="H168" s="283"/>
      <c r="I168" s="10"/>
      <c r="J168" s="9"/>
      <c r="M168" s="9"/>
    </row>
    <row r="169" spans="1:13" s="7" customFormat="1" ht="15.75" x14ac:dyDescent="0.25">
      <c r="A169" s="35">
        <v>3599</v>
      </c>
      <c r="B169" s="36"/>
      <c r="C169" s="78" t="s">
        <v>158</v>
      </c>
      <c r="D169" s="96">
        <f>SUM(D164:D168)</f>
        <v>45</v>
      </c>
      <c r="E169" s="96">
        <f>SUM(E164:E168)</f>
        <v>45</v>
      </c>
      <c r="F169" s="251">
        <f>SUM(F164:F168)</f>
        <v>8000</v>
      </c>
      <c r="G169" s="306">
        <f>SUM(G164:G168)</f>
        <v>45</v>
      </c>
      <c r="H169" s="286">
        <f>G169</f>
        <v>45</v>
      </c>
      <c r="I169" s="10"/>
      <c r="J169" s="9"/>
      <c r="M169" s="9"/>
    </row>
    <row r="170" spans="1:13" s="7" customFormat="1" x14ac:dyDescent="0.2">
      <c r="A170" s="12"/>
      <c r="B170" s="14"/>
      <c r="C170" s="77"/>
      <c r="D170" s="95"/>
      <c r="E170" s="95"/>
      <c r="F170" s="239"/>
      <c r="G170" s="265"/>
      <c r="H170" s="283"/>
      <c r="I170" s="10"/>
      <c r="J170" s="9"/>
      <c r="M170" s="9"/>
    </row>
    <row r="171" spans="1:13" s="7" customFormat="1" x14ac:dyDescent="0.2">
      <c r="A171" s="12">
        <v>3631</v>
      </c>
      <c r="B171" s="14">
        <v>5154</v>
      </c>
      <c r="C171" s="77" t="s">
        <v>140</v>
      </c>
      <c r="D171" s="95">
        <v>5</v>
      </c>
      <c r="E171" s="95">
        <v>5</v>
      </c>
      <c r="F171" s="239">
        <v>0</v>
      </c>
      <c r="G171" s="265">
        <v>8</v>
      </c>
      <c r="H171" s="283"/>
      <c r="I171" s="10"/>
      <c r="J171" s="9"/>
      <c r="M171" s="9"/>
    </row>
    <row r="172" spans="1:13" s="5" customFormat="1" ht="15.75" x14ac:dyDescent="0.25">
      <c r="A172" s="35">
        <v>3631</v>
      </c>
      <c r="B172" s="36"/>
      <c r="C172" s="78" t="s">
        <v>41</v>
      </c>
      <c r="D172" s="96">
        <f>SUM(D171:D171)</f>
        <v>5</v>
      </c>
      <c r="E172" s="96">
        <f>SUM(E171:E171)</f>
        <v>5</v>
      </c>
      <c r="F172" s="251">
        <f>SUM(F171:F171)</f>
        <v>0</v>
      </c>
      <c r="G172" s="306">
        <f>SUM(G171)</f>
        <v>8</v>
      </c>
      <c r="H172" s="286">
        <f>G172</f>
        <v>8</v>
      </c>
      <c r="I172" s="10"/>
      <c r="J172" s="9"/>
      <c r="M172" s="9"/>
    </row>
    <row r="173" spans="1:13" x14ac:dyDescent="0.2">
      <c r="A173" s="12"/>
      <c r="B173" s="14"/>
      <c r="C173" s="77"/>
      <c r="D173" s="95"/>
      <c r="E173" s="95"/>
      <c r="F173" s="239"/>
      <c r="G173" s="265"/>
      <c r="H173" s="283"/>
    </row>
    <row r="174" spans="1:13" x14ac:dyDescent="0.2">
      <c r="A174" s="12">
        <v>3632</v>
      </c>
      <c r="B174" s="63">
        <v>5011</v>
      </c>
      <c r="C174" s="73" t="s">
        <v>14</v>
      </c>
      <c r="D174" s="95">
        <v>171</v>
      </c>
      <c r="E174" s="95">
        <v>171</v>
      </c>
      <c r="F174" s="239">
        <v>140025</v>
      </c>
      <c r="G174" s="265">
        <v>180</v>
      </c>
      <c r="H174" s="283"/>
    </row>
    <row r="175" spans="1:13" x14ac:dyDescent="0.2">
      <c r="A175" s="66">
        <v>3632</v>
      </c>
      <c r="B175" s="67">
        <v>5021</v>
      </c>
      <c r="C175" s="148" t="s">
        <v>17</v>
      </c>
      <c r="D175" s="95">
        <v>6</v>
      </c>
      <c r="E175" s="95">
        <v>6</v>
      </c>
      <c r="F175" s="239">
        <v>0</v>
      </c>
      <c r="G175" s="265">
        <v>6</v>
      </c>
      <c r="H175" s="283"/>
    </row>
    <row r="176" spans="1:13" ht="30" x14ac:dyDescent="0.2">
      <c r="A176" s="66">
        <v>3632</v>
      </c>
      <c r="B176" s="67">
        <v>5031</v>
      </c>
      <c r="C176" s="64" t="s">
        <v>162</v>
      </c>
      <c r="D176" s="95">
        <v>43</v>
      </c>
      <c r="E176" s="95">
        <v>43</v>
      </c>
      <c r="F176" s="239">
        <v>33624</v>
      </c>
      <c r="G176" s="265">
        <v>45</v>
      </c>
      <c r="H176" s="283"/>
    </row>
    <row r="177" spans="1:13" x14ac:dyDescent="0.2">
      <c r="A177" s="66">
        <v>3632</v>
      </c>
      <c r="B177" s="67">
        <v>5032</v>
      </c>
      <c r="C177" s="64" t="s">
        <v>33</v>
      </c>
      <c r="D177" s="95">
        <v>16</v>
      </c>
      <c r="E177" s="95">
        <v>16</v>
      </c>
      <c r="F177" s="239">
        <v>12201</v>
      </c>
      <c r="G177" s="265">
        <v>17</v>
      </c>
      <c r="H177" s="283"/>
    </row>
    <row r="178" spans="1:13" x14ac:dyDescent="0.2">
      <c r="A178" s="66">
        <v>3632</v>
      </c>
      <c r="B178" s="67">
        <v>5137</v>
      </c>
      <c r="C178" s="64" t="s">
        <v>37</v>
      </c>
      <c r="D178" s="95">
        <v>8</v>
      </c>
      <c r="E178" s="95">
        <v>8</v>
      </c>
      <c r="F178" s="239">
        <v>0</v>
      </c>
      <c r="G178" s="265">
        <v>8</v>
      </c>
      <c r="H178" s="283"/>
    </row>
    <row r="179" spans="1:13" x14ac:dyDescent="0.2">
      <c r="A179" s="66">
        <v>3632</v>
      </c>
      <c r="B179" s="67">
        <v>5139</v>
      </c>
      <c r="C179" s="64" t="s">
        <v>4</v>
      </c>
      <c r="D179" s="95">
        <v>7</v>
      </c>
      <c r="E179" s="95">
        <v>7</v>
      </c>
      <c r="F179" s="239">
        <v>1105</v>
      </c>
      <c r="G179" s="265">
        <v>5</v>
      </c>
      <c r="H179" s="283"/>
    </row>
    <row r="180" spans="1:13" x14ac:dyDescent="0.2">
      <c r="A180" s="66">
        <v>3632</v>
      </c>
      <c r="B180" s="67">
        <v>5151</v>
      </c>
      <c r="C180" s="64" t="s">
        <v>10</v>
      </c>
      <c r="D180" s="95">
        <v>8</v>
      </c>
      <c r="E180" s="95">
        <v>8</v>
      </c>
      <c r="F180" s="239">
        <v>7296</v>
      </c>
      <c r="G180" s="265">
        <v>10</v>
      </c>
      <c r="H180" s="283"/>
    </row>
    <row r="181" spans="1:13" x14ac:dyDescent="0.2">
      <c r="A181" s="66">
        <v>3632</v>
      </c>
      <c r="B181" s="67">
        <v>5154</v>
      </c>
      <c r="C181" s="64" t="s">
        <v>12</v>
      </c>
      <c r="D181" s="95">
        <v>7</v>
      </c>
      <c r="E181" s="95">
        <v>7</v>
      </c>
      <c r="F181" s="239">
        <v>2354</v>
      </c>
      <c r="G181" s="265">
        <v>5</v>
      </c>
      <c r="H181" s="283"/>
    </row>
    <row r="182" spans="1:13" x14ac:dyDescent="0.2">
      <c r="A182" s="66">
        <v>3632</v>
      </c>
      <c r="B182" s="67">
        <v>5156</v>
      </c>
      <c r="C182" s="64" t="s">
        <v>55</v>
      </c>
      <c r="D182" s="95">
        <v>1</v>
      </c>
      <c r="E182" s="95">
        <v>1</v>
      </c>
      <c r="F182" s="239">
        <v>0</v>
      </c>
      <c r="G182" s="265">
        <v>1</v>
      </c>
      <c r="H182" s="283"/>
    </row>
    <row r="183" spans="1:13" ht="30" x14ac:dyDescent="0.2">
      <c r="A183" s="66">
        <v>3632</v>
      </c>
      <c r="B183" s="67">
        <v>5169</v>
      </c>
      <c r="C183" s="64" t="s">
        <v>362</v>
      </c>
      <c r="D183" s="95">
        <v>30</v>
      </c>
      <c r="E183" s="95">
        <v>30</v>
      </c>
      <c r="F183" s="239">
        <v>0</v>
      </c>
      <c r="G183" s="265">
        <v>50</v>
      </c>
      <c r="H183" s="283"/>
    </row>
    <row r="184" spans="1:13" x14ac:dyDescent="0.2">
      <c r="A184" s="66">
        <v>3632</v>
      </c>
      <c r="B184" s="67">
        <v>5169</v>
      </c>
      <c r="C184" s="64" t="s">
        <v>127</v>
      </c>
      <c r="D184" s="95">
        <v>120</v>
      </c>
      <c r="E184" s="95">
        <v>120</v>
      </c>
      <c r="F184" s="239">
        <f>90238.94+7468.69</f>
        <v>97707.63</v>
      </c>
      <c r="G184" s="265">
        <v>130</v>
      </c>
      <c r="H184" s="283"/>
    </row>
    <row r="185" spans="1:13" x14ac:dyDescent="0.2">
      <c r="A185" s="66">
        <v>3632</v>
      </c>
      <c r="B185" s="67">
        <v>5169</v>
      </c>
      <c r="C185" s="64" t="s">
        <v>128</v>
      </c>
      <c r="D185" s="95">
        <v>70</v>
      </c>
      <c r="E185" s="95">
        <v>70</v>
      </c>
      <c r="F185" s="239">
        <f>15000+6612.65+18730.8+5092.29</f>
        <v>45435.74</v>
      </c>
      <c r="G185" s="265">
        <v>80</v>
      </c>
      <c r="H185" s="283"/>
    </row>
    <row r="186" spans="1:13" ht="30" x14ac:dyDescent="0.2">
      <c r="A186" s="66">
        <v>3632</v>
      </c>
      <c r="B186" s="67">
        <v>5171</v>
      </c>
      <c r="C186" s="64" t="s">
        <v>363</v>
      </c>
      <c r="D186" s="95">
        <v>100</v>
      </c>
      <c r="E186" s="95">
        <v>100</v>
      </c>
      <c r="F186" s="239">
        <v>1815</v>
      </c>
      <c r="G186" s="265">
        <v>150</v>
      </c>
      <c r="H186" s="283"/>
    </row>
    <row r="187" spans="1:13" ht="30" x14ac:dyDescent="0.2">
      <c r="A187" s="66">
        <v>3632</v>
      </c>
      <c r="B187" s="67">
        <v>6121</v>
      </c>
      <c r="C187" s="146" t="s">
        <v>203</v>
      </c>
      <c r="D187" s="203">
        <v>200</v>
      </c>
      <c r="E187" s="203">
        <v>200</v>
      </c>
      <c r="F187" s="273">
        <v>0</v>
      </c>
      <c r="G187" s="311">
        <v>0</v>
      </c>
      <c r="H187" s="312"/>
    </row>
    <row r="188" spans="1:13" s="3" customFormat="1" ht="15.75" x14ac:dyDescent="0.25">
      <c r="A188" s="32">
        <v>3632</v>
      </c>
      <c r="B188" s="33"/>
      <c r="C188" s="81" t="s">
        <v>18</v>
      </c>
      <c r="D188" s="89">
        <f>SUM(D174:D187)</f>
        <v>787</v>
      </c>
      <c r="E188" s="89">
        <f>SUM(E174:E187)</f>
        <v>787</v>
      </c>
      <c r="F188" s="249">
        <f>SUM(F174:F187)</f>
        <v>341563.37</v>
      </c>
      <c r="G188" s="307">
        <f>SUM(G174:G187)</f>
        <v>687</v>
      </c>
      <c r="H188" s="286">
        <f>G188</f>
        <v>687</v>
      </c>
      <c r="I188" s="10"/>
      <c r="J188" s="9"/>
      <c r="M188" s="9"/>
    </row>
    <row r="189" spans="1:13" x14ac:dyDescent="0.2">
      <c r="A189" s="12"/>
      <c r="B189" s="14"/>
      <c r="C189" s="77"/>
      <c r="D189" s="95"/>
      <c r="E189" s="95"/>
      <c r="F189" s="239"/>
      <c r="G189" s="265"/>
      <c r="H189" s="283"/>
    </row>
    <row r="190" spans="1:13" ht="30" x14ac:dyDescent="0.2">
      <c r="A190" s="66">
        <v>3635</v>
      </c>
      <c r="B190" s="67">
        <v>5166</v>
      </c>
      <c r="C190" s="64" t="s">
        <v>379</v>
      </c>
      <c r="D190" s="95">
        <v>300</v>
      </c>
      <c r="E190" s="95">
        <v>300</v>
      </c>
      <c r="F190" s="239">
        <v>199390</v>
      </c>
      <c r="G190" s="265">
        <v>300</v>
      </c>
      <c r="H190" s="283"/>
    </row>
    <row r="191" spans="1:13" s="3" customFormat="1" ht="15.75" x14ac:dyDescent="0.25">
      <c r="A191" s="32">
        <v>3635</v>
      </c>
      <c r="B191" s="33"/>
      <c r="C191" s="76" t="s">
        <v>19</v>
      </c>
      <c r="D191" s="89">
        <f>SUM(D190:D190)</f>
        <v>300</v>
      </c>
      <c r="E191" s="89">
        <f>SUM(E190:E190)</f>
        <v>300</v>
      </c>
      <c r="F191" s="249">
        <f>SUM(F190:F190)</f>
        <v>199390</v>
      </c>
      <c r="G191" s="307">
        <f>SUM(G190)</f>
        <v>300</v>
      </c>
      <c r="H191" s="286">
        <f>G191</f>
        <v>300</v>
      </c>
      <c r="I191" s="10"/>
      <c r="J191" s="9"/>
      <c r="M191" s="9"/>
    </row>
    <row r="192" spans="1:13" s="3" customFormat="1" ht="15.75" x14ac:dyDescent="0.25">
      <c r="A192" s="32"/>
      <c r="B192" s="33"/>
      <c r="C192" s="76"/>
      <c r="D192" s="95"/>
      <c r="E192" s="95"/>
      <c r="F192" s="249"/>
      <c r="G192" s="265"/>
      <c r="H192" s="283"/>
      <c r="I192" s="10"/>
      <c r="J192" s="9"/>
      <c r="M192" s="9"/>
    </row>
    <row r="193" spans="1:13" s="9" customFormat="1" ht="30" x14ac:dyDescent="0.2">
      <c r="A193" s="12">
        <v>3639</v>
      </c>
      <c r="B193" s="63">
        <v>5139</v>
      </c>
      <c r="C193" s="86" t="s">
        <v>151</v>
      </c>
      <c r="D193" s="95">
        <v>20</v>
      </c>
      <c r="E193" s="95">
        <v>20</v>
      </c>
      <c r="F193" s="239">
        <v>0</v>
      </c>
      <c r="G193" s="265">
        <v>25</v>
      </c>
      <c r="H193" s="283"/>
      <c r="I193" s="10"/>
    </row>
    <row r="194" spans="1:13" s="9" customFormat="1" x14ac:dyDescent="0.2">
      <c r="A194" s="66">
        <v>3639</v>
      </c>
      <c r="B194" s="67">
        <v>5151</v>
      </c>
      <c r="C194" s="64" t="s">
        <v>10</v>
      </c>
      <c r="D194" s="95">
        <v>4</v>
      </c>
      <c r="E194" s="95">
        <v>4</v>
      </c>
      <c r="F194" s="239">
        <v>767</v>
      </c>
      <c r="G194" s="265">
        <v>4</v>
      </c>
      <c r="H194" s="283"/>
      <c r="I194" s="10"/>
    </row>
    <row r="195" spans="1:13" s="7" customFormat="1" x14ac:dyDescent="0.2">
      <c r="A195" s="66">
        <v>3639</v>
      </c>
      <c r="B195" s="67">
        <v>5154</v>
      </c>
      <c r="C195" s="64" t="s">
        <v>80</v>
      </c>
      <c r="D195" s="95">
        <v>8</v>
      </c>
      <c r="E195" s="95">
        <f>8+5</f>
        <v>13</v>
      </c>
      <c r="F195" s="239">
        <v>18350</v>
      </c>
      <c r="G195" s="265">
        <v>13</v>
      </c>
      <c r="H195" s="283"/>
      <c r="I195" s="10"/>
      <c r="J195" s="9"/>
      <c r="M195" s="9"/>
    </row>
    <row r="196" spans="1:13" s="7" customFormat="1" ht="45" x14ac:dyDescent="0.2">
      <c r="A196" s="66">
        <v>3639</v>
      </c>
      <c r="B196" s="67">
        <v>5169</v>
      </c>
      <c r="C196" s="64" t="s">
        <v>382</v>
      </c>
      <c r="D196" s="95">
        <v>30</v>
      </c>
      <c r="E196" s="95">
        <v>30</v>
      </c>
      <c r="F196" s="239">
        <v>36859</v>
      </c>
      <c r="G196" s="265">
        <v>10</v>
      </c>
      <c r="H196" s="283"/>
      <c r="I196" s="10"/>
      <c r="J196" s="9"/>
      <c r="M196" s="9"/>
    </row>
    <row r="197" spans="1:13" s="7" customFormat="1" x14ac:dyDescent="0.2">
      <c r="A197" s="66">
        <v>3639</v>
      </c>
      <c r="B197" s="67">
        <v>5171</v>
      </c>
      <c r="C197" s="64" t="s">
        <v>110</v>
      </c>
      <c r="D197" s="95">
        <v>10</v>
      </c>
      <c r="E197" s="95">
        <v>10</v>
      </c>
      <c r="F197" s="239">
        <v>0</v>
      </c>
      <c r="G197" s="265">
        <v>10</v>
      </c>
      <c r="H197" s="283"/>
      <c r="I197" s="10"/>
      <c r="J197" s="9"/>
      <c r="M197" s="9"/>
    </row>
    <row r="198" spans="1:13" s="7" customFormat="1" x14ac:dyDescent="0.2">
      <c r="A198" s="66">
        <v>3639</v>
      </c>
      <c r="B198" s="67">
        <v>5171</v>
      </c>
      <c r="C198" s="64" t="s">
        <v>283</v>
      </c>
      <c r="D198" s="95">
        <v>0</v>
      </c>
      <c r="E198" s="95">
        <v>1400</v>
      </c>
      <c r="F198" s="239">
        <v>1393865.37</v>
      </c>
      <c r="G198" s="265">
        <v>0</v>
      </c>
      <c r="H198" s="283"/>
      <c r="I198" s="10"/>
      <c r="J198" s="9"/>
      <c r="M198" s="9"/>
    </row>
    <row r="199" spans="1:13" s="3" customFormat="1" ht="15.75" x14ac:dyDescent="0.25">
      <c r="A199" s="32">
        <v>3639</v>
      </c>
      <c r="B199" s="33"/>
      <c r="C199" s="76" t="s">
        <v>48</v>
      </c>
      <c r="D199" s="89">
        <f>SUM(D193:D198)</f>
        <v>72</v>
      </c>
      <c r="E199" s="89">
        <f t="shared" ref="E199:F199" si="2">SUM(E193:E198)</f>
        <v>1477</v>
      </c>
      <c r="F199" s="249">
        <f t="shared" si="2"/>
        <v>1449841.37</v>
      </c>
      <c r="G199" s="306">
        <f>SUM(G193:G198)</f>
        <v>62</v>
      </c>
      <c r="H199" s="286">
        <f>G199</f>
        <v>62</v>
      </c>
      <c r="I199" s="10"/>
      <c r="J199" s="9"/>
      <c r="M199" s="9"/>
    </row>
    <row r="200" spans="1:13" s="3" customFormat="1" ht="15.75" x14ac:dyDescent="0.25">
      <c r="A200" s="32"/>
      <c r="B200" s="33"/>
      <c r="C200" s="76"/>
      <c r="D200" s="95"/>
      <c r="E200" s="95"/>
      <c r="F200" s="249"/>
      <c r="G200" s="265"/>
      <c r="H200" s="283"/>
      <c r="I200" s="10"/>
      <c r="J200" s="9"/>
      <c r="M200" s="9"/>
    </row>
    <row r="201" spans="1:13" s="3" customFormat="1" x14ac:dyDescent="0.2">
      <c r="A201" s="12">
        <v>3722</v>
      </c>
      <c r="B201" s="14">
        <v>5169</v>
      </c>
      <c r="C201" s="77" t="s">
        <v>5</v>
      </c>
      <c r="D201" s="95">
        <v>60</v>
      </c>
      <c r="E201" s="95">
        <v>60</v>
      </c>
      <c r="F201" s="239">
        <v>35902.22</v>
      </c>
      <c r="G201" s="265">
        <v>60</v>
      </c>
      <c r="H201" s="283"/>
      <c r="I201" s="10"/>
      <c r="J201" s="9"/>
      <c r="M201" s="9"/>
    </row>
    <row r="202" spans="1:13" s="3" customFormat="1" x14ac:dyDescent="0.2">
      <c r="A202" s="12">
        <v>3722</v>
      </c>
      <c r="B202" s="63">
        <v>6121</v>
      </c>
      <c r="C202" s="146" t="s">
        <v>202</v>
      </c>
      <c r="D202" s="203">
        <v>200</v>
      </c>
      <c r="E202" s="203">
        <v>200</v>
      </c>
      <c r="F202" s="273">
        <v>0</v>
      </c>
      <c r="G202" s="305">
        <v>200</v>
      </c>
      <c r="H202" s="284"/>
      <c r="I202" s="10"/>
      <c r="J202" s="9"/>
      <c r="M202" s="9"/>
    </row>
    <row r="203" spans="1:13" s="3" customFormat="1" ht="15.75" x14ac:dyDescent="0.25">
      <c r="A203" s="32">
        <v>3722</v>
      </c>
      <c r="B203" s="33"/>
      <c r="C203" s="76" t="s">
        <v>20</v>
      </c>
      <c r="D203" s="89">
        <f>SUM(D201:D202)</f>
        <v>260</v>
      </c>
      <c r="E203" s="89">
        <f>SUM(E201:E202)</f>
        <v>260</v>
      </c>
      <c r="F203" s="249">
        <f>SUM(F201:F202)</f>
        <v>35902.22</v>
      </c>
      <c r="G203" s="307">
        <f>SUM(G201:G202)</f>
        <v>260</v>
      </c>
      <c r="H203" s="286">
        <f>G203</f>
        <v>260</v>
      </c>
      <c r="I203" s="10"/>
      <c r="J203" s="9"/>
      <c r="M203" s="9"/>
    </row>
    <row r="204" spans="1:13" s="3" customFormat="1" ht="15.75" x14ac:dyDescent="0.25">
      <c r="A204" s="32"/>
      <c r="B204" s="33"/>
      <c r="C204" s="76"/>
      <c r="D204" s="95"/>
      <c r="E204" s="95"/>
      <c r="F204" s="249"/>
      <c r="G204" s="265"/>
      <c r="H204" s="283"/>
      <c r="I204" s="10"/>
      <c r="J204" s="9"/>
      <c r="M204" s="9"/>
    </row>
    <row r="205" spans="1:13" s="3" customFormat="1" x14ac:dyDescent="0.2">
      <c r="A205" s="12">
        <v>3731</v>
      </c>
      <c r="B205" s="14">
        <v>5169</v>
      </c>
      <c r="C205" s="77" t="s">
        <v>38</v>
      </c>
      <c r="D205" s="95">
        <v>8</v>
      </c>
      <c r="E205" s="95">
        <v>8</v>
      </c>
      <c r="F205" s="239">
        <v>3993</v>
      </c>
      <c r="G205" s="265">
        <v>9</v>
      </c>
      <c r="H205" s="283"/>
      <c r="I205" s="10"/>
      <c r="J205" s="9"/>
      <c r="M205" s="9"/>
    </row>
    <row r="206" spans="1:13" s="3" customFormat="1" ht="31.5" x14ac:dyDescent="0.25">
      <c r="A206" s="32">
        <v>3731</v>
      </c>
      <c r="B206" s="33"/>
      <c r="C206" s="76" t="s">
        <v>85</v>
      </c>
      <c r="D206" s="89">
        <f t="shared" ref="D206:E206" si="3">SUM(D205)</f>
        <v>8</v>
      </c>
      <c r="E206" s="89">
        <f t="shared" si="3"/>
        <v>8</v>
      </c>
      <c r="F206" s="249">
        <f>SUM(F205)</f>
        <v>3993</v>
      </c>
      <c r="G206" s="306">
        <f>SUM(G205)</f>
        <v>9</v>
      </c>
      <c r="H206" s="286">
        <f>G206</f>
        <v>9</v>
      </c>
      <c r="I206" s="10"/>
      <c r="J206" s="9"/>
      <c r="M206" s="9"/>
    </row>
    <row r="207" spans="1:13" s="3" customFormat="1" ht="15.75" x14ac:dyDescent="0.25">
      <c r="A207" s="32"/>
      <c r="B207" s="33"/>
      <c r="C207" s="76"/>
      <c r="D207" s="95"/>
      <c r="E207" s="95"/>
      <c r="F207" s="249"/>
      <c r="G207" s="265"/>
      <c r="H207" s="283"/>
      <c r="I207" s="10"/>
      <c r="J207" s="9"/>
      <c r="M207" s="9"/>
    </row>
    <row r="208" spans="1:13" s="3" customFormat="1" ht="30" x14ac:dyDescent="0.2">
      <c r="A208" s="12">
        <v>3745</v>
      </c>
      <c r="B208" s="63">
        <v>5137</v>
      </c>
      <c r="C208" s="86" t="s">
        <v>178</v>
      </c>
      <c r="D208" s="95">
        <v>20</v>
      </c>
      <c r="E208" s="95">
        <v>20</v>
      </c>
      <c r="F208" s="239">
        <v>0</v>
      </c>
      <c r="G208" s="265">
        <v>20</v>
      </c>
      <c r="H208" s="283"/>
      <c r="I208" s="10"/>
      <c r="J208" s="9"/>
      <c r="M208" s="9"/>
    </row>
    <row r="209" spans="1:13" s="3" customFormat="1" x14ac:dyDescent="0.2">
      <c r="A209" s="66">
        <v>3745</v>
      </c>
      <c r="B209" s="67">
        <v>5139</v>
      </c>
      <c r="C209" s="64" t="s">
        <v>57</v>
      </c>
      <c r="D209" s="95">
        <v>100</v>
      </c>
      <c r="E209" s="95">
        <v>100</v>
      </c>
      <c r="F209" s="239">
        <v>33672.699999999997</v>
      </c>
      <c r="G209" s="265">
        <v>100</v>
      </c>
      <c r="H209" s="283"/>
      <c r="I209" s="10"/>
      <c r="J209" s="9"/>
      <c r="M209" s="9"/>
    </row>
    <row r="210" spans="1:13" s="3" customFormat="1" x14ac:dyDescent="0.2">
      <c r="A210" s="66">
        <v>3745</v>
      </c>
      <c r="B210" s="67">
        <v>5169</v>
      </c>
      <c r="C210" s="64" t="s">
        <v>175</v>
      </c>
      <c r="D210" s="95"/>
      <c r="E210" s="95"/>
      <c r="F210" s="239"/>
      <c r="G210" s="265"/>
      <c r="H210" s="283"/>
      <c r="I210" s="10"/>
      <c r="J210" s="9"/>
      <c r="M210" s="9"/>
    </row>
    <row r="211" spans="1:13" s="3" customFormat="1" x14ac:dyDescent="0.2">
      <c r="A211" s="66">
        <v>3745</v>
      </c>
      <c r="B211" s="67">
        <v>5169</v>
      </c>
      <c r="C211" s="64" t="s">
        <v>361</v>
      </c>
      <c r="D211" s="95">
        <v>40</v>
      </c>
      <c r="E211" s="95">
        <v>40</v>
      </c>
      <c r="F211" s="239">
        <v>44445.72</v>
      </c>
      <c r="G211" s="265">
        <v>0</v>
      </c>
      <c r="H211" s="283"/>
      <c r="I211" s="10"/>
      <c r="J211" s="9"/>
      <c r="M211" s="9"/>
    </row>
    <row r="212" spans="1:13" s="3" customFormat="1" ht="30" x14ac:dyDescent="0.2">
      <c r="A212" s="66">
        <v>3745</v>
      </c>
      <c r="B212" s="67">
        <v>5169</v>
      </c>
      <c r="C212" s="64" t="s">
        <v>284</v>
      </c>
      <c r="D212" s="95">
        <v>3310</v>
      </c>
      <c r="E212" s="95">
        <f>3310-149.5</f>
        <v>3160.5</v>
      </c>
      <c r="F212" s="239">
        <f>(2311219.05-149525.6)+105250.77</f>
        <v>2266944.2199999997</v>
      </c>
      <c r="G212" s="265">
        <v>3640</v>
      </c>
      <c r="H212" s="283"/>
      <c r="I212" s="10"/>
      <c r="J212" s="9"/>
      <c r="M212" s="9"/>
    </row>
    <row r="213" spans="1:13" s="3" customFormat="1" ht="45" x14ac:dyDescent="0.2">
      <c r="A213" s="66">
        <v>3745</v>
      </c>
      <c r="B213" s="67">
        <v>5169</v>
      </c>
      <c r="C213" s="64" t="s">
        <v>286</v>
      </c>
      <c r="D213" s="95">
        <v>0</v>
      </c>
      <c r="E213" s="95">
        <v>149.5</v>
      </c>
      <c r="F213" s="239">
        <v>149525.6</v>
      </c>
      <c r="G213" s="265">
        <v>0</v>
      </c>
      <c r="H213" s="283"/>
      <c r="I213" s="10"/>
      <c r="J213" s="9"/>
      <c r="M213" s="9"/>
    </row>
    <row r="214" spans="1:13" s="3" customFormat="1" ht="45" x14ac:dyDescent="0.2">
      <c r="A214" s="66">
        <v>3745</v>
      </c>
      <c r="B214" s="67">
        <v>5169</v>
      </c>
      <c r="C214" s="64" t="s">
        <v>285</v>
      </c>
      <c r="D214" s="95">
        <v>0</v>
      </c>
      <c r="E214" s="95">
        <v>519.79999999999995</v>
      </c>
      <c r="F214" s="239">
        <v>519816.15</v>
      </c>
      <c r="G214" s="265">
        <v>0</v>
      </c>
      <c r="H214" s="283"/>
      <c r="I214" s="10"/>
      <c r="J214" s="9"/>
      <c r="M214" s="9"/>
    </row>
    <row r="215" spans="1:13" s="3" customFormat="1" ht="60" x14ac:dyDescent="0.2">
      <c r="A215" s="66">
        <v>3745</v>
      </c>
      <c r="B215" s="67">
        <v>5169</v>
      </c>
      <c r="C215" s="64" t="s">
        <v>237</v>
      </c>
      <c r="D215" s="95">
        <v>520</v>
      </c>
      <c r="E215" s="95">
        <f>520-520</f>
        <v>0</v>
      </c>
      <c r="F215" s="239">
        <v>0</v>
      </c>
      <c r="G215" s="265">
        <v>0</v>
      </c>
      <c r="H215" s="283"/>
      <c r="I215" s="10"/>
      <c r="J215" s="9"/>
      <c r="M215" s="9"/>
    </row>
    <row r="216" spans="1:13" s="3" customFormat="1" ht="30" x14ac:dyDescent="0.2">
      <c r="A216" s="66">
        <v>3745</v>
      </c>
      <c r="B216" s="67">
        <v>5169</v>
      </c>
      <c r="C216" s="64" t="s">
        <v>260</v>
      </c>
      <c r="D216" s="95">
        <v>0</v>
      </c>
      <c r="E216" s="95">
        <v>1465</v>
      </c>
      <c r="F216" s="239">
        <v>327554.8</v>
      </c>
      <c r="G216" s="265">
        <v>0</v>
      </c>
      <c r="H216" s="283"/>
      <c r="I216" s="10"/>
      <c r="J216" s="9"/>
      <c r="M216" s="9"/>
    </row>
    <row r="217" spans="1:13" s="3" customFormat="1" x14ac:dyDescent="0.2">
      <c r="A217" s="66">
        <v>3745</v>
      </c>
      <c r="B217" s="67">
        <v>5171</v>
      </c>
      <c r="C217" s="64" t="s">
        <v>86</v>
      </c>
      <c r="D217" s="95">
        <v>25</v>
      </c>
      <c r="E217" s="95">
        <v>25</v>
      </c>
      <c r="F217" s="239">
        <v>13426.16</v>
      </c>
      <c r="G217" s="265">
        <v>30</v>
      </c>
      <c r="H217" s="283"/>
      <c r="I217" s="10"/>
      <c r="J217" s="9"/>
      <c r="M217" s="9"/>
    </row>
    <row r="218" spans="1:13" s="3" customFormat="1" x14ac:dyDescent="0.2">
      <c r="A218" s="313">
        <v>3745</v>
      </c>
      <c r="B218" s="203">
        <v>6121</v>
      </c>
      <c r="C218" s="314" t="s">
        <v>364</v>
      </c>
      <c r="D218" s="315">
        <v>0</v>
      </c>
      <c r="E218" s="203">
        <v>0</v>
      </c>
      <c r="F218" s="316">
        <v>0</v>
      </c>
      <c r="G218" s="146">
        <v>410</v>
      </c>
      <c r="H218" s="203"/>
      <c r="I218" s="10"/>
      <c r="J218" s="9"/>
      <c r="M218" s="9"/>
    </row>
    <row r="219" spans="1:13" s="3" customFormat="1" ht="15.75" x14ac:dyDescent="0.25">
      <c r="A219" s="32">
        <v>3745</v>
      </c>
      <c r="B219" s="33"/>
      <c r="C219" s="76" t="s">
        <v>25</v>
      </c>
      <c r="D219" s="89">
        <f>SUM(D208:D218)</f>
        <v>4015</v>
      </c>
      <c r="E219" s="89">
        <f>SUM(E208:E218)</f>
        <v>5479.8</v>
      </c>
      <c r="F219" s="249">
        <f>SUM(F208:F218)</f>
        <v>3355385.3499999996</v>
      </c>
      <c r="G219" s="307">
        <f>SUM(G208:G218)</f>
        <v>4200</v>
      </c>
      <c r="H219" s="286">
        <f>G219</f>
        <v>4200</v>
      </c>
      <c r="I219" s="10"/>
      <c r="J219" s="9"/>
      <c r="M219" s="9"/>
    </row>
    <row r="220" spans="1:13" s="3" customFormat="1" ht="15.75" x14ac:dyDescent="0.25">
      <c r="A220" s="12"/>
      <c r="B220" s="14"/>
      <c r="C220" s="77"/>
      <c r="D220" s="95"/>
      <c r="E220" s="95"/>
      <c r="F220" s="249"/>
      <c r="G220" s="265"/>
      <c r="H220" s="283"/>
      <c r="I220" s="10"/>
      <c r="J220" s="9"/>
      <c r="M220" s="9"/>
    </row>
    <row r="221" spans="1:13" s="3" customFormat="1" x14ac:dyDescent="0.2">
      <c r="A221" s="12">
        <v>3900</v>
      </c>
      <c r="B221" s="63">
        <v>5161</v>
      </c>
      <c r="C221" s="86" t="s">
        <v>65</v>
      </c>
      <c r="D221" s="95">
        <v>8</v>
      </c>
      <c r="E221" s="95">
        <v>8</v>
      </c>
      <c r="F221" s="239">
        <v>0</v>
      </c>
      <c r="G221" s="265">
        <v>5</v>
      </c>
      <c r="H221" s="283"/>
      <c r="I221" s="10"/>
      <c r="J221" s="9"/>
      <c r="M221" s="9"/>
    </row>
    <row r="222" spans="1:13" s="3" customFormat="1" x14ac:dyDescent="0.2">
      <c r="A222" s="66">
        <v>3900</v>
      </c>
      <c r="B222" s="67">
        <v>5194</v>
      </c>
      <c r="C222" s="64" t="s">
        <v>212</v>
      </c>
      <c r="D222" s="95">
        <v>20</v>
      </c>
      <c r="E222" s="95">
        <v>20</v>
      </c>
      <c r="F222" s="239">
        <v>1029</v>
      </c>
      <c r="G222" s="265">
        <v>5</v>
      </c>
      <c r="H222" s="283"/>
      <c r="I222" s="10"/>
      <c r="J222" s="9"/>
      <c r="M222" s="9"/>
    </row>
    <row r="223" spans="1:13" s="3" customFormat="1" ht="30" x14ac:dyDescent="0.2">
      <c r="A223" s="66">
        <v>3900</v>
      </c>
      <c r="B223" s="67">
        <v>5221</v>
      </c>
      <c r="C223" s="64" t="s">
        <v>365</v>
      </c>
      <c r="D223" s="95">
        <v>20</v>
      </c>
      <c r="E223" s="95">
        <v>20</v>
      </c>
      <c r="F223" s="239">
        <v>20000</v>
      </c>
      <c r="G223" s="265">
        <v>20</v>
      </c>
      <c r="H223" s="283"/>
      <c r="I223" s="10"/>
      <c r="J223" s="9"/>
      <c r="M223" s="9"/>
    </row>
    <row r="224" spans="1:13" s="3" customFormat="1" x14ac:dyDescent="0.2">
      <c r="A224" s="66">
        <v>3900</v>
      </c>
      <c r="B224" s="67">
        <v>5222</v>
      </c>
      <c r="C224" s="64" t="s">
        <v>171</v>
      </c>
      <c r="D224" s="95">
        <v>10</v>
      </c>
      <c r="E224" s="95">
        <v>10</v>
      </c>
      <c r="F224" s="239">
        <v>0</v>
      </c>
      <c r="G224" s="265">
        <v>10</v>
      </c>
      <c r="H224" s="283"/>
      <c r="I224" s="10"/>
      <c r="J224" s="9"/>
      <c r="M224" s="9"/>
    </row>
    <row r="225" spans="1:13" s="3" customFormat="1" ht="30" x14ac:dyDescent="0.2">
      <c r="A225" s="66">
        <v>3900</v>
      </c>
      <c r="B225" s="67">
        <v>5499</v>
      </c>
      <c r="C225" s="64" t="s">
        <v>63</v>
      </c>
      <c r="D225" s="95">
        <v>75</v>
      </c>
      <c r="E225" s="95">
        <v>75</v>
      </c>
      <c r="F225" s="239">
        <v>56178</v>
      </c>
      <c r="G225" s="265">
        <v>75</v>
      </c>
      <c r="H225" s="283"/>
      <c r="I225" s="10"/>
      <c r="J225" s="9"/>
      <c r="M225" s="9"/>
    </row>
    <row r="226" spans="1:13" s="3" customFormat="1" ht="15.75" x14ac:dyDescent="0.25">
      <c r="A226" s="35">
        <v>3900</v>
      </c>
      <c r="B226" s="36"/>
      <c r="C226" s="78" t="s">
        <v>214</v>
      </c>
      <c r="D226" s="96">
        <f>SUM(D221:D225)</f>
        <v>133</v>
      </c>
      <c r="E226" s="96">
        <f>SUM(E221:E225)</f>
        <v>133</v>
      </c>
      <c r="F226" s="251">
        <f>SUM(F221:F225)</f>
        <v>77207</v>
      </c>
      <c r="G226" s="306">
        <f>SUM(G221:G225)</f>
        <v>115</v>
      </c>
      <c r="H226" s="286">
        <f>G226</f>
        <v>115</v>
      </c>
      <c r="I226" s="10"/>
      <c r="J226" s="9"/>
      <c r="M226" s="9"/>
    </row>
    <row r="227" spans="1:13" s="3" customFormat="1" ht="15.75" x14ac:dyDescent="0.25">
      <c r="A227" s="12"/>
      <c r="B227" s="14"/>
      <c r="C227" s="77"/>
      <c r="D227" s="95"/>
      <c r="E227" s="95"/>
      <c r="F227" s="249"/>
      <c r="G227" s="265"/>
      <c r="H227" s="283"/>
      <c r="I227" s="10"/>
      <c r="J227" s="9"/>
      <c r="M227" s="9"/>
    </row>
    <row r="228" spans="1:13" s="3" customFormat="1" x14ac:dyDescent="0.2">
      <c r="A228" s="12">
        <v>4341</v>
      </c>
      <c r="B228" s="63">
        <v>5492</v>
      </c>
      <c r="C228" s="86" t="s">
        <v>42</v>
      </c>
      <c r="D228" s="95">
        <v>20</v>
      </c>
      <c r="E228" s="95">
        <v>20</v>
      </c>
      <c r="F228" s="239">
        <v>0</v>
      </c>
      <c r="G228" s="265">
        <v>20</v>
      </c>
      <c r="H228" s="283"/>
      <c r="I228" s="10"/>
      <c r="J228" s="9"/>
      <c r="M228" s="9"/>
    </row>
    <row r="229" spans="1:13" s="5" customFormat="1" ht="15.75" x14ac:dyDescent="0.25">
      <c r="A229" s="35">
        <v>4341</v>
      </c>
      <c r="B229" s="36"/>
      <c r="C229" s="78" t="s">
        <v>366</v>
      </c>
      <c r="D229" s="96">
        <f>SUM(D228:D228)</f>
        <v>20</v>
      </c>
      <c r="E229" s="96">
        <f>SUM(E228:E228)</f>
        <v>20</v>
      </c>
      <c r="F229" s="251">
        <f>SUM(F228:F228)</f>
        <v>0</v>
      </c>
      <c r="G229" s="306">
        <f>SUM(G228)</f>
        <v>20</v>
      </c>
      <c r="H229" s="286">
        <f>G229</f>
        <v>20</v>
      </c>
      <c r="I229" s="10"/>
      <c r="J229" s="9"/>
      <c r="M229" s="9"/>
    </row>
    <row r="230" spans="1:13" s="3" customFormat="1" ht="15.75" x14ac:dyDescent="0.25">
      <c r="A230" s="32"/>
      <c r="B230" s="33"/>
      <c r="C230" s="76"/>
      <c r="D230" s="95"/>
      <c r="E230" s="95"/>
      <c r="F230" s="249"/>
      <c r="G230" s="265"/>
      <c r="H230" s="283"/>
      <c r="I230" s="10"/>
      <c r="J230" s="9"/>
      <c r="M230" s="9"/>
    </row>
    <row r="231" spans="1:13" s="9" customFormat="1" ht="30" x14ac:dyDescent="0.2">
      <c r="A231" s="12">
        <v>4344</v>
      </c>
      <c r="B231" s="63">
        <v>5221</v>
      </c>
      <c r="C231" s="64" t="s">
        <v>367</v>
      </c>
      <c r="D231" s="95">
        <v>0</v>
      </c>
      <c r="E231" s="95">
        <v>10</v>
      </c>
      <c r="F231" s="239">
        <v>10000</v>
      </c>
      <c r="G231" s="265">
        <v>10</v>
      </c>
      <c r="H231" s="283"/>
      <c r="I231" s="10"/>
    </row>
    <row r="232" spans="1:13" s="9" customFormat="1" x14ac:dyDescent="0.2">
      <c r="A232" s="12">
        <v>4344</v>
      </c>
      <c r="B232" s="63">
        <v>5222</v>
      </c>
      <c r="C232" s="86" t="s">
        <v>216</v>
      </c>
      <c r="D232" s="95">
        <v>70</v>
      </c>
      <c r="E232" s="95">
        <v>0</v>
      </c>
      <c r="F232" s="239">
        <v>0</v>
      </c>
      <c r="G232" s="265">
        <v>70</v>
      </c>
      <c r="H232" s="283"/>
      <c r="I232" s="10"/>
    </row>
    <row r="233" spans="1:13" s="9" customFormat="1" ht="30" x14ac:dyDescent="0.2">
      <c r="A233" s="66">
        <v>4344</v>
      </c>
      <c r="B233" s="67">
        <v>5222</v>
      </c>
      <c r="C233" s="64" t="s">
        <v>217</v>
      </c>
      <c r="D233" s="95">
        <v>0</v>
      </c>
      <c r="E233" s="95">
        <v>30</v>
      </c>
      <c r="F233" s="239">
        <v>30000</v>
      </c>
      <c r="G233" s="265">
        <v>0</v>
      </c>
      <c r="H233" s="283"/>
      <c r="I233" s="10"/>
    </row>
    <row r="234" spans="1:13" s="9" customFormat="1" x14ac:dyDescent="0.2">
      <c r="A234" s="66">
        <v>4344</v>
      </c>
      <c r="B234" s="67">
        <v>5222</v>
      </c>
      <c r="C234" s="64" t="s">
        <v>236</v>
      </c>
      <c r="D234" s="95">
        <v>0</v>
      </c>
      <c r="E234" s="95">
        <v>20</v>
      </c>
      <c r="F234" s="239">
        <v>20000</v>
      </c>
      <c r="G234" s="265">
        <v>0</v>
      </c>
      <c r="H234" s="283"/>
      <c r="I234" s="10"/>
    </row>
    <row r="235" spans="1:13" s="9" customFormat="1" x14ac:dyDescent="0.2">
      <c r="A235" s="66">
        <v>4344</v>
      </c>
      <c r="B235" s="67">
        <v>5222</v>
      </c>
      <c r="C235" s="64" t="s">
        <v>215</v>
      </c>
      <c r="D235" s="95">
        <v>0</v>
      </c>
      <c r="E235" s="95">
        <v>20</v>
      </c>
      <c r="F235" s="239">
        <v>20000</v>
      </c>
      <c r="G235" s="265">
        <v>0</v>
      </c>
      <c r="H235" s="283"/>
      <c r="I235" s="10"/>
    </row>
    <row r="236" spans="1:13" s="3" customFormat="1" ht="15.75" x14ac:dyDescent="0.25">
      <c r="A236" s="32">
        <v>4344</v>
      </c>
      <c r="B236" s="33"/>
      <c r="C236" s="76" t="s">
        <v>51</v>
      </c>
      <c r="D236" s="89">
        <f>SUM(D231:D235)</f>
        <v>70</v>
      </c>
      <c r="E236" s="89">
        <f t="shared" ref="E236:F236" si="4">SUM(E231:E235)</f>
        <v>80</v>
      </c>
      <c r="F236" s="251">
        <f t="shared" si="4"/>
        <v>80000</v>
      </c>
      <c r="G236" s="306">
        <f>SUM(G231:G235)</f>
        <v>80</v>
      </c>
      <c r="H236" s="286">
        <f>G236</f>
        <v>80</v>
      </c>
      <c r="I236" s="10"/>
      <c r="J236" s="9"/>
      <c r="M236" s="9"/>
    </row>
    <row r="237" spans="1:13" s="3" customFormat="1" ht="15.75" x14ac:dyDescent="0.25">
      <c r="A237" s="32"/>
      <c r="B237" s="14"/>
      <c r="C237" s="79"/>
      <c r="D237" s="95"/>
      <c r="E237" s="95"/>
      <c r="F237" s="239"/>
      <c r="G237" s="265"/>
      <c r="H237" s="283"/>
      <c r="I237" s="10"/>
      <c r="J237" s="9"/>
      <c r="M237" s="9"/>
    </row>
    <row r="238" spans="1:13" s="3" customFormat="1" x14ac:dyDescent="0.2">
      <c r="A238" s="12">
        <v>4357</v>
      </c>
      <c r="B238" s="63">
        <v>5041</v>
      </c>
      <c r="C238" s="86" t="s">
        <v>94</v>
      </c>
      <c r="D238" s="95">
        <v>2</v>
      </c>
      <c r="E238" s="95">
        <v>2</v>
      </c>
      <c r="F238" s="239">
        <v>0</v>
      </c>
      <c r="G238" s="265">
        <v>2</v>
      </c>
      <c r="H238" s="283"/>
      <c r="I238" s="10"/>
      <c r="J238" s="9"/>
      <c r="M238" s="9"/>
    </row>
    <row r="239" spans="1:13" s="3" customFormat="1" x14ac:dyDescent="0.2">
      <c r="A239" s="66">
        <v>4357</v>
      </c>
      <c r="B239" s="67">
        <v>5137</v>
      </c>
      <c r="C239" s="64" t="s">
        <v>174</v>
      </c>
      <c r="D239" s="95">
        <v>6</v>
      </c>
      <c r="E239" s="95">
        <v>6</v>
      </c>
      <c r="F239" s="239">
        <f>14990-370</f>
        <v>14620</v>
      </c>
      <c r="G239" s="265">
        <v>10</v>
      </c>
      <c r="H239" s="283"/>
      <c r="I239" s="10"/>
      <c r="J239" s="9"/>
      <c r="M239" s="9"/>
    </row>
    <row r="240" spans="1:13" s="7" customFormat="1" ht="29.25" customHeight="1" x14ac:dyDescent="0.2">
      <c r="A240" s="66">
        <v>4357</v>
      </c>
      <c r="B240" s="67">
        <v>5139</v>
      </c>
      <c r="C240" s="64" t="s">
        <v>327</v>
      </c>
      <c r="D240" s="95">
        <v>20</v>
      </c>
      <c r="E240" s="95">
        <v>20</v>
      </c>
      <c r="F240" s="239">
        <v>8886</v>
      </c>
      <c r="G240" s="265">
        <v>15</v>
      </c>
      <c r="H240" s="283"/>
      <c r="I240" s="10"/>
      <c r="J240" s="9"/>
      <c r="M240" s="9"/>
    </row>
    <row r="241" spans="1:13" s="7" customFormat="1" ht="18" customHeight="1" x14ac:dyDescent="0.2">
      <c r="A241" s="66">
        <v>4357</v>
      </c>
      <c r="B241" s="67">
        <v>5156</v>
      </c>
      <c r="C241" s="64" t="s">
        <v>49</v>
      </c>
      <c r="D241" s="95">
        <v>11</v>
      </c>
      <c r="E241" s="95">
        <v>11</v>
      </c>
      <c r="F241" s="239">
        <v>7399.47</v>
      </c>
      <c r="G241" s="265">
        <v>12</v>
      </c>
      <c r="H241" s="283"/>
      <c r="I241" s="10"/>
      <c r="J241" s="9"/>
      <c r="M241" s="9"/>
    </row>
    <row r="242" spans="1:13" s="3" customFormat="1" x14ac:dyDescent="0.2">
      <c r="A242" s="66">
        <v>4357</v>
      </c>
      <c r="B242" s="67">
        <v>5169</v>
      </c>
      <c r="C242" s="64" t="s">
        <v>175</v>
      </c>
      <c r="D242" s="95"/>
      <c r="E242" s="95"/>
      <c r="F242" s="239"/>
      <c r="G242" s="265"/>
      <c r="H242" s="283"/>
      <c r="I242" s="10"/>
      <c r="J242" s="9"/>
      <c r="M242" s="9"/>
    </row>
    <row r="243" spans="1:13" s="7" customFormat="1" ht="18" customHeight="1" x14ac:dyDescent="0.2">
      <c r="A243" s="66"/>
      <c r="B243" s="67"/>
      <c r="C243" s="64" t="s">
        <v>176</v>
      </c>
      <c r="D243" s="95">
        <v>35</v>
      </c>
      <c r="E243" s="95">
        <v>35</v>
      </c>
      <c r="F243" s="239">
        <f>10000+12000</f>
        <v>22000</v>
      </c>
      <c r="G243" s="265">
        <v>40</v>
      </c>
      <c r="H243" s="283"/>
      <c r="I243" s="124"/>
      <c r="J243" s="9"/>
      <c r="M243" s="9"/>
    </row>
    <row r="244" spans="1:13" s="7" customFormat="1" ht="29.25" customHeight="1" x14ac:dyDescent="0.2">
      <c r="A244" s="66"/>
      <c r="B244" s="67"/>
      <c r="C244" s="64" t="s">
        <v>369</v>
      </c>
      <c r="D244" s="95">
        <v>75</v>
      </c>
      <c r="E244" s="95">
        <v>75</v>
      </c>
      <c r="F244" s="239">
        <f>146718.4+9680</f>
        <v>156398.39999999999</v>
      </c>
      <c r="G244" s="265">
        <v>100</v>
      </c>
      <c r="H244" s="283"/>
      <c r="I244" s="10"/>
      <c r="J244" s="9"/>
      <c r="M244" s="9"/>
    </row>
    <row r="245" spans="1:13" s="7" customFormat="1" ht="30.75" customHeight="1" x14ac:dyDescent="0.2">
      <c r="A245" s="66"/>
      <c r="B245" s="67"/>
      <c r="C245" s="64" t="s">
        <v>328</v>
      </c>
      <c r="D245" s="95">
        <v>300</v>
      </c>
      <c r="E245" s="95">
        <v>300</v>
      </c>
      <c r="F245" s="239">
        <f>20000+264750.42</f>
        <v>284750.42</v>
      </c>
      <c r="G245" s="265">
        <v>200</v>
      </c>
      <c r="H245" s="283"/>
      <c r="I245" s="10"/>
      <c r="J245" s="9"/>
      <c r="M245" s="9"/>
    </row>
    <row r="246" spans="1:13" s="7" customFormat="1" ht="18" customHeight="1" x14ac:dyDescent="0.2">
      <c r="A246" s="66">
        <v>4357</v>
      </c>
      <c r="B246" s="67">
        <v>5171</v>
      </c>
      <c r="C246" s="64" t="s">
        <v>370</v>
      </c>
      <c r="D246" s="95"/>
      <c r="E246" s="95"/>
      <c r="F246" s="239"/>
      <c r="G246" s="265">
        <v>500</v>
      </c>
      <c r="H246" s="283"/>
      <c r="I246" s="10"/>
      <c r="J246" s="9"/>
      <c r="M246" s="9"/>
    </row>
    <row r="247" spans="1:13" s="7" customFormat="1" ht="30" x14ac:dyDescent="0.2">
      <c r="A247" s="66"/>
      <c r="B247" s="67"/>
      <c r="C247" s="163" t="s">
        <v>325</v>
      </c>
      <c r="D247" s="95">
        <v>500</v>
      </c>
      <c r="E247" s="95">
        <f>500-80</f>
        <v>420</v>
      </c>
      <c r="F247" s="239">
        <f>102691.7+7320.5+8349+2662+8995.88</f>
        <v>130019.08</v>
      </c>
      <c r="G247" s="265">
        <v>0</v>
      </c>
      <c r="H247" s="283"/>
      <c r="I247" s="10"/>
      <c r="J247" s="9"/>
      <c r="M247" s="9"/>
    </row>
    <row r="248" spans="1:13" s="7" customFormat="1" x14ac:dyDescent="0.2">
      <c r="A248" s="66"/>
      <c r="B248" s="67"/>
      <c r="C248" s="163" t="s">
        <v>218</v>
      </c>
      <c r="D248" s="95">
        <v>500</v>
      </c>
      <c r="E248" s="95">
        <v>500</v>
      </c>
      <c r="F248" s="239">
        <v>0</v>
      </c>
      <c r="G248" s="265">
        <v>0</v>
      </c>
      <c r="H248" s="283"/>
      <c r="I248" s="10"/>
      <c r="J248" s="9"/>
      <c r="M248" s="9"/>
    </row>
    <row r="249" spans="1:13" s="7" customFormat="1" x14ac:dyDescent="0.2">
      <c r="A249" s="66"/>
      <c r="B249" s="67"/>
      <c r="C249" s="163" t="s">
        <v>219</v>
      </c>
      <c r="D249" s="95">
        <v>1000</v>
      </c>
      <c r="E249" s="95">
        <v>1000</v>
      </c>
      <c r="F249" s="239">
        <f>5971.35+63870.4</f>
        <v>69841.75</v>
      </c>
      <c r="G249" s="265">
        <v>0</v>
      </c>
      <c r="H249" s="283"/>
      <c r="I249" s="10"/>
      <c r="J249" s="9"/>
      <c r="M249" s="9"/>
    </row>
    <row r="250" spans="1:13" s="7" customFormat="1" x14ac:dyDescent="0.2">
      <c r="A250" s="66">
        <v>4357</v>
      </c>
      <c r="B250" s="67">
        <v>5175</v>
      </c>
      <c r="C250" s="64" t="s">
        <v>13</v>
      </c>
      <c r="D250" s="95">
        <v>18</v>
      </c>
      <c r="E250" s="95">
        <v>18</v>
      </c>
      <c r="F250" s="239">
        <f>4469+4900</f>
        <v>9369</v>
      </c>
      <c r="G250" s="265">
        <v>18</v>
      </c>
      <c r="H250" s="283"/>
      <c r="I250" s="10"/>
      <c r="J250" s="9"/>
      <c r="M250" s="9"/>
    </row>
    <row r="251" spans="1:13" s="7" customFormat="1" ht="27.75" customHeight="1" x14ac:dyDescent="0.2">
      <c r="A251" s="66">
        <v>4357</v>
      </c>
      <c r="B251" s="67">
        <v>5194</v>
      </c>
      <c r="C251" s="64" t="s">
        <v>220</v>
      </c>
      <c r="D251" s="95">
        <v>3</v>
      </c>
      <c r="E251" s="95">
        <v>3</v>
      </c>
      <c r="F251" s="239">
        <v>300</v>
      </c>
      <c r="G251" s="265">
        <v>3</v>
      </c>
      <c r="H251" s="283"/>
      <c r="I251" s="10"/>
      <c r="J251" s="9"/>
      <c r="M251" s="9"/>
    </row>
    <row r="252" spans="1:13" s="7" customFormat="1" ht="18.75" customHeight="1" x14ac:dyDescent="0.2">
      <c r="A252" s="66">
        <v>4357</v>
      </c>
      <c r="B252" s="67">
        <v>5492</v>
      </c>
      <c r="C252" s="64" t="s">
        <v>160</v>
      </c>
      <c r="D252" s="95">
        <v>2</v>
      </c>
      <c r="E252" s="95">
        <v>2</v>
      </c>
      <c r="F252" s="239">
        <v>2000</v>
      </c>
      <c r="G252" s="265">
        <v>2</v>
      </c>
      <c r="H252" s="283"/>
      <c r="I252" s="10"/>
      <c r="J252" s="9"/>
      <c r="M252" s="9"/>
    </row>
    <row r="253" spans="1:13" s="7" customFormat="1" ht="44.25" customHeight="1" x14ac:dyDescent="0.2">
      <c r="A253" s="66">
        <v>4357</v>
      </c>
      <c r="B253" s="67">
        <v>6121</v>
      </c>
      <c r="C253" s="146" t="s">
        <v>368</v>
      </c>
      <c r="D253" s="204">
        <v>0</v>
      </c>
      <c r="E253" s="204">
        <v>80</v>
      </c>
      <c r="F253" s="273">
        <f>10890+9075+36300+7500</f>
        <v>63765</v>
      </c>
      <c r="G253" s="311">
        <v>0</v>
      </c>
      <c r="H253" s="312"/>
      <c r="I253" s="10"/>
      <c r="J253" s="9"/>
      <c r="M253" s="9"/>
    </row>
    <row r="254" spans="1:13" s="7" customFormat="1" ht="30.75" customHeight="1" x14ac:dyDescent="0.2">
      <c r="A254" s="66"/>
      <c r="B254" s="67"/>
      <c r="C254" s="146" t="s">
        <v>371</v>
      </c>
      <c r="D254" s="204">
        <v>0</v>
      </c>
      <c r="E254" s="204">
        <v>0</v>
      </c>
      <c r="F254" s="273">
        <v>0</v>
      </c>
      <c r="G254" s="305">
        <v>9000</v>
      </c>
      <c r="H254" s="284"/>
      <c r="I254" s="10"/>
      <c r="J254" s="9"/>
      <c r="M254" s="9"/>
    </row>
    <row r="255" spans="1:13" s="3" customFormat="1" ht="15.75" x14ac:dyDescent="0.25">
      <c r="A255" s="32">
        <v>4357</v>
      </c>
      <c r="B255" s="33"/>
      <c r="C255" s="76" t="s">
        <v>165</v>
      </c>
      <c r="D255" s="89">
        <f>SUM(D238:D254)</f>
        <v>2472</v>
      </c>
      <c r="E255" s="89">
        <f>SUM(E238:E254)</f>
        <v>2472</v>
      </c>
      <c r="F255" s="249">
        <f>SUM(F238:F254)</f>
        <v>769349.12</v>
      </c>
      <c r="G255" s="307">
        <f>SUM(G238:G254)</f>
        <v>9902</v>
      </c>
      <c r="H255" s="286">
        <f>G255</f>
        <v>9902</v>
      </c>
      <c r="I255" s="10"/>
      <c r="J255" s="9"/>
      <c r="M255" s="9"/>
    </row>
    <row r="256" spans="1:13" s="3" customFormat="1" ht="15.75" x14ac:dyDescent="0.25">
      <c r="A256" s="32"/>
      <c r="B256" s="33"/>
      <c r="C256" s="76"/>
      <c r="D256" s="95"/>
      <c r="E256" s="95"/>
      <c r="F256" s="249"/>
      <c r="G256" s="265"/>
      <c r="H256" s="283"/>
      <c r="I256" s="10"/>
      <c r="J256" s="9"/>
      <c r="M256" s="9"/>
    </row>
    <row r="257" spans="1:13" s="3" customFormat="1" x14ac:dyDescent="0.2">
      <c r="A257" s="12">
        <v>4359</v>
      </c>
      <c r="B257" s="14">
        <v>5139</v>
      </c>
      <c r="C257" s="77" t="s">
        <v>4</v>
      </c>
      <c r="D257" s="95">
        <v>2</v>
      </c>
      <c r="E257" s="95">
        <v>2</v>
      </c>
      <c r="F257" s="239">
        <v>0</v>
      </c>
      <c r="G257" s="265">
        <v>2</v>
      </c>
      <c r="H257" s="283"/>
      <c r="I257" s="10"/>
      <c r="J257" s="9"/>
      <c r="M257" s="9"/>
    </row>
    <row r="258" spans="1:13" s="3" customFormat="1" x14ac:dyDescent="0.2">
      <c r="A258" s="12">
        <v>4359</v>
      </c>
      <c r="B258" s="14">
        <v>5169</v>
      </c>
      <c r="C258" s="77" t="s">
        <v>99</v>
      </c>
      <c r="D258" s="95">
        <v>4</v>
      </c>
      <c r="E258" s="95">
        <v>4</v>
      </c>
      <c r="F258" s="239">
        <v>0</v>
      </c>
      <c r="G258" s="265">
        <v>4</v>
      </c>
      <c r="H258" s="283"/>
      <c r="I258" s="10"/>
      <c r="J258" s="9"/>
      <c r="M258" s="9"/>
    </row>
    <row r="259" spans="1:13" s="3" customFormat="1" x14ac:dyDescent="0.2">
      <c r="A259" s="34">
        <v>4359</v>
      </c>
      <c r="B259" s="37">
        <v>5175</v>
      </c>
      <c r="C259" s="80" t="s">
        <v>13</v>
      </c>
      <c r="D259" s="95">
        <v>6</v>
      </c>
      <c r="E259" s="95">
        <v>6</v>
      </c>
      <c r="F259" s="239">
        <v>0</v>
      </c>
      <c r="G259" s="265">
        <v>6</v>
      </c>
      <c r="H259" s="283"/>
      <c r="I259" s="10"/>
      <c r="J259" s="9"/>
      <c r="M259" s="9"/>
    </row>
    <row r="260" spans="1:13" s="3" customFormat="1" ht="15.75" x14ac:dyDescent="0.25">
      <c r="A260" s="32">
        <v>4359</v>
      </c>
      <c r="B260" s="33"/>
      <c r="C260" s="76" t="s">
        <v>52</v>
      </c>
      <c r="D260" s="89">
        <f t="shared" ref="D260:E260" si="5">SUM(D257:D259)</f>
        <v>12</v>
      </c>
      <c r="E260" s="89">
        <f t="shared" si="5"/>
        <v>12</v>
      </c>
      <c r="F260" s="249">
        <f>SUM(F257:F259)</f>
        <v>0</v>
      </c>
      <c r="G260" s="306">
        <f>SUM(G257:G259)</f>
        <v>12</v>
      </c>
      <c r="H260" s="286">
        <f>G260</f>
        <v>12</v>
      </c>
      <c r="I260" s="10"/>
      <c r="J260" s="9"/>
      <c r="M260" s="9"/>
    </row>
    <row r="261" spans="1:13" s="3" customFormat="1" ht="15.75" x14ac:dyDescent="0.25">
      <c r="A261" s="32"/>
      <c r="B261" s="33"/>
      <c r="C261" s="76"/>
      <c r="D261" s="89"/>
      <c r="E261" s="89"/>
      <c r="F261" s="249"/>
      <c r="G261" s="265"/>
      <c r="H261" s="283"/>
      <c r="I261" s="10"/>
      <c r="J261" s="9"/>
      <c r="M261" s="9"/>
    </row>
    <row r="262" spans="1:13" s="9" customFormat="1" x14ac:dyDescent="0.2">
      <c r="A262" s="66">
        <v>5213</v>
      </c>
      <c r="B262" s="67">
        <v>5133</v>
      </c>
      <c r="C262" s="64" t="s">
        <v>221</v>
      </c>
      <c r="D262" s="95">
        <v>0</v>
      </c>
      <c r="E262" s="95">
        <v>80</v>
      </c>
      <c r="F262" s="239">
        <v>28899</v>
      </c>
      <c r="G262" s="265">
        <v>0</v>
      </c>
      <c r="H262" s="283"/>
      <c r="I262" s="10"/>
    </row>
    <row r="263" spans="1:13" s="9" customFormat="1" x14ac:dyDescent="0.2">
      <c r="A263" s="66">
        <v>5213</v>
      </c>
      <c r="B263" s="67">
        <v>5137</v>
      </c>
      <c r="C263" s="64" t="s">
        <v>37</v>
      </c>
      <c r="D263" s="95">
        <v>0</v>
      </c>
      <c r="E263" s="95">
        <v>30</v>
      </c>
      <c r="F263" s="239">
        <v>0</v>
      </c>
      <c r="G263" s="265">
        <v>0</v>
      </c>
      <c r="H263" s="283"/>
      <c r="I263" s="10"/>
    </row>
    <row r="264" spans="1:13" s="9" customFormat="1" x14ac:dyDescent="0.2">
      <c r="A264" s="66">
        <v>5213</v>
      </c>
      <c r="B264" s="67">
        <v>5139</v>
      </c>
      <c r="C264" s="64" t="s">
        <v>4</v>
      </c>
      <c r="D264" s="95">
        <v>0</v>
      </c>
      <c r="E264" s="95">
        <v>20.5</v>
      </c>
      <c r="F264" s="239">
        <v>3624</v>
      </c>
      <c r="G264" s="265">
        <v>0</v>
      </c>
      <c r="H264" s="283"/>
      <c r="I264" s="10"/>
    </row>
    <row r="265" spans="1:13" s="9" customFormat="1" x14ac:dyDescent="0.2">
      <c r="A265" s="66">
        <v>5213</v>
      </c>
      <c r="B265" s="126">
        <v>5901</v>
      </c>
      <c r="C265" s="74" t="s">
        <v>316</v>
      </c>
      <c r="D265" s="95">
        <v>0</v>
      </c>
      <c r="E265" s="95">
        <v>45</v>
      </c>
      <c r="F265" s="239">
        <v>0</v>
      </c>
      <c r="G265" s="265">
        <v>0</v>
      </c>
      <c r="H265" s="283"/>
      <c r="I265" s="10"/>
    </row>
    <row r="266" spans="1:13" s="9" customFormat="1" x14ac:dyDescent="0.2">
      <c r="A266" s="66">
        <v>5213</v>
      </c>
      <c r="B266" s="126">
        <v>5901</v>
      </c>
      <c r="C266" s="74" t="s">
        <v>161</v>
      </c>
      <c r="D266" s="95">
        <v>240</v>
      </c>
      <c r="E266" s="95">
        <v>240</v>
      </c>
      <c r="F266" s="239">
        <v>0</v>
      </c>
      <c r="G266" s="265">
        <v>143</v>
      </c>
      <c r="H266" s="283"/>
      <c r="I266" s="10"/>
    </row>
    <row r="267" spans="1:13" s="5" customFormat="1" ht="15.75" x14ac:dyDescent="0.25">
      <c r="A267" s="35">
        <v>5213</v>
      </c>
      <c r="B267" s="36"/>
      <c r="C267" s="78" t="s">
        <v>142</v>
      </c>
      <c r="D267" s="96">
        <f>SUM(D262:D266)</f>
        <v>240</v>
      </c>
      <c r="E267" s="96">
        <f>SUM(E262:E266)</f>
        <v>415.5</v>
      </c>
      <c r="F267" s="251">
        <f>SUM(F262:F266)</f>
        <v>32523</v>
      </c>
      <c r="G267" s="306">
        <f>SUM(G262:G266)</f>
        <v>143</v>
      </c>
      <c r="H267" s="286">
        <f>G267</f>
        <v>143</v>
      </c>
      <c r="I267" s="99"/>
      <c r="M267" s="9"/>
    </row>
    <row r="268" spans="1:13" s="5" customFormat="1" ht="15.75" x14ac:dyDescent="0.25">
      <c r="A268" s="35"/>
      <c r="B268" s="36"/>
      <c r="C268" s="78"/>
      <c r="D268" s="96"/>
      <c r="E268" s="96"/>
      <c r="F268" s="251"/>
      <c r="G268" s="265"/>
      <c r="H268" s="283"/>
      <c r="I268" s="99"/>
      <c r="M268" s="9"/>
    </row>
    <row r="269" spans="1:13" s="9" customFormat="1" x14ac:dyDescent="0.2">
      <c r="A269" s="66">
        <v>5311</v>
      </c>
      <c r="B269" s="67">
        <v>5492</v>
      </c>
      <c r="C269" s="64" t="s">
        <v>42</v>
      </c>
      <c r="D269" s="95">
        <v>30</v>
      </c>
      <c r="E269" s="95">
        <v>30</v>
      </c>
      <c r="F269" s="239">
        <v>0</v>
      </c>
      <c r="G269" s="265">
        <v>30</v>
      </c>
      <c r="H269" s="283"/>
      <c r="I269" s="10"/>
    </row>
    <row r="270" spans="1:13" s="3" customFormat="1" ht="15.75" x14ac:dyDescent="0.25">
      <c r="A270" s="35">
        <v>5311</v>
      </c>
      <c r="B270" s="36"/>
      <c r="C270" s="78" t="s">
        <v>53</v>
      </c>
      <c r="D270" s="96">
        <f>SUM(D269:D269)</f>
        <v>30</v>
      </c>
      <c r="E270" s="96">
        <f>SUM(E269:E269)</f>
        <v>30</v>
      </c>
      <c r="F270" s="251">
        <f>SUM(F269:F269)</f>
        <v>0</v>
      </c>
      <c r="G270" s="306">
        <f>SUM(G269:G269)</f>
        <v>30</v>
      </c>
      <c r="H270" s="286">
        <f>G270</f>
        <v>30</v>
      </c>
      <c r="I270" s="10"/>
      <c r="J270" s="9"/>
      <c r="M270" s="9"/>
    </row>
    <row r="271" spans="1:13" s="3" customFormat="1" ht="15.75" x14ac:dyDescent="0.25">
      <c r="A271" s="35"/>
      <c r="B271" s="36"/>
      <c r="C271" s="78"/>
      <c r="D271" s="95"/>
      <c r="E271" s="95"/>
      <c r="F271" s="249"/>
      <c r="G271" s="265"/>
      <c r="H271" s="283"/>
      <c r="I271" s="10"/>
      <c r="J271" s="9"/>
      <c r="M271" s="9"/>
    </row>
    <row r="272" spans="1:13" s="3" customFormat="1" x14ac:dyDescent="0.2">
      <c r="A272" s="12">
        <v>5512</v>
      </c>
      <c r="B272" s="63">
        <v>5132</v>
      </c>
      <c r="C272" s="86" t="s">
        <v>44</v>
      </c>
      <c r="D272" s="95">
        <v>40</v>
      </c>
      <c r="E272" s="213">
        <v>40</v>
      </c>
      <c r="F272" s="301">
        <v>46214</v>
      </c>
      <c r="G272" s="265">
        <v>40</v>
      </c>
      <c r="H272" s="283"/>
      <c r="I272" s="10"/>
      <c r="J272" s="9"/>
      <c r="M272" s="9"/>
    </row>
    <row r="273" spans="1:13" s="3" customFormat="1" x14ac:dyDescent="0.2">
      <c r="A273" s="216">
        <v>5512</v>
      </c>
      <c r="B273" s="217">
        <v>5132</v>
      </c>
      <c r="C273" s="218" t="s">
        <v>242</v>
      </c>
      <c r="D273" s="222">
        <v>0</v>
      </c>
      <c r="E273" s="223">
        <v>162</v>
      </c>
      <c r="F273" s="302">
        <v>8717</v>
      </c>
      <c r="G273" s="265">
        <v>0</v>
      </c>
      <c r="H273" s="283"/>
      <c r="I273" s="10"/>
      <c r="J273" s="9"/>
      <c r="M273" s="9"/>
    </row>
    <row r="274" spans="1:13" s="3" customFormat="1" x14ac:dyDescent="0.2">
      <c r="A274" s="66">
        <v>5512</v>
      </c>
      <c r="B274" s="67">
        <v>5137</v>
      </c>
      <c r="C274" s="64" t="s">
        <v>45</v>
      </c>
      <c r="D274" s="214">
        <v>40</v>
      </c>
      <c r="E274" s="215">
        <v>40</v>
      </c>
      <c r="F274" s="300">
        <v>1241</v>
      </c>
      <c r="G274" s="265">
        <v>40</v>
      </c>
      <c r="H274" s="283"/>
      <c r="I274" s="10"/>
      <c r="J274" s="9"/>
      <c r="M274" s="9"/>
    </row>
    <row r="275" spans="1:13" s="3" customFormat="1" ht="30" x14ac:dyDescent="0.2">
      <c r="A275" s="216">
        <v>5512</v>
      </c>
      <c r="B275" s="217">
        <v>5137</v>
      </c>
      <c r="C275" s="218" t="s">
        <v>322</v>
      </c>
      <c r="D275" s="222">
        <v>0</v>
      </c>
      <c r="E275" s="223">
        <v>40</v>
      </c>
      <c r="F275" s="302">
        <v>23665</v>
      </c>
      <c r="G275" s="265">
        <v>0</v>
      </c>
      <c r="H275" s="283"/>
      <c r="I275" s="10"/>
      <c r="J275" s="9"/>
      <c r="M275" s="10"/>
    </row>
    <row r="276" spans="1:13" s="3" customFormat="1" x14ac:dyDescent="0.2">
      <c r="A276" s="66">
        <v>5512</v>
      </c>
      <c r="B276" s="67">
        <v>5139</v>
      </c>
      <c r="C276" s="64" t="s">
        <v>46</v>
      </c>
      <c r="D276" s="214">
        <v>60</v>
      </c>
      <c r="E276" s="215">
        <v>60</v>
      </c>
      <c r="F276" s="300">
        <v>9040</v>
      </c>
      <c r="G276" s="265">
        <v>60</v>
      </c>
      <c r="H276" s="283"/>
      <c r="I276" s="10"/>
      <c r="J276" s="9"/>
      <c r="M276" s="9"/>
    </row>
    <row r="277" spans="1:13" s="3" customFormat="1" x14ac:dyDescent="0.2">
      <c r="A277" s="216">
        <v>5512</v>
      </c>
      <c r="B277" s="217">
        <v>5139</v>
      </c>
      <c r="C277" s="218" t="s">
        <v>241</v>
      </c>
      <c r="D277" s="222">
        <v>0</v>
      </c>
      <c r="E277" s="223">
        <v>30</v>
      </c>
      <c r="F277" s="302">
        <v>45180.9</v>
      </c>
      <c r="G277" s="265">
        <v>0</v>
      </c>
      <c r="H277" s="283"/>
      <c r="I277" s="10"/>
      <c r="J277" s="9"/>
      <c r="M277" s="9"/>
    </row>
    <row r="278" spans="1:13" s="3" customFormat="1" x14ac:dyDescent="0.2">
      <c r="A278" s="66">
        <v>5512</v>
      </c>
      <c r="B278" s="67">
        <v>5151</v>
      </c>
      <c r="C278" s="64" t="s">
        <v>10</v>
      </c>
      <c r="D278" s="214">
        <v>10</v>
      </c>
      <c r="E278" s="215">
        <v>10</v>
      </c>
      <c r="F278" s="300">
        <v>5651</v>
      </c>
      <c r="G278" s="265">
        <v>10</v>
      </c>
      <c r="H278" s="283"/>
      <c r="I278" s="10"/>
      <c r="J278" s="9"/>
      <c r="M278" s="9"/>
    </row>
    <row r="279" spans="1:13" s="3" customFormat="1" x14ac:dyDescent="0.2">
      <c r="A279" s="66">
        <v>5512</v>
      </c>
      <c r="B279" s="67">
        <v>5153</v>
      </c>
      <c r="C279" s="64" t="s">
        <v>11</v>
      </c>
      <c r="D279" s="214">
        <v>120</v>
      </c>
      <c r="E279" s="215">
        <f>120+80</f>
        <v>200</v>
      </c>
      <c r="F279" s="300">
        <f>133600+60000</f>
        <v>193600</v>
      </c>
      <c r="G279" s="265">
        <v>260</v>
      </c>
      <c r="H279" s="283"/>
      <c r="I279" s="10"/>
      <c r="J279" s="9"/>
      <c r="M279" s="9"/>
    </row>
    <row r="280" spans="1:13" s="3" customFormat="1" x14ac:dyDescent="0.2">
      <c r="A280" s="66">
        <v>5512</v>
      </c>
      <c r="B280" s="67">
        <v>5154</v>
      </c>
      <c r="C280" s="64" t="s">
        <v>12</v>
      </c>
      <c r="D280" s="214">
        <v>45</v>
      </c>
      <c r="E280" s="215">
        <v>45</v>
      </c>
      <c r="F280" s="300">
        <v>26340</v>
      </c>
      <c r="G280" s="265">
        <v>66</v>
      </c>
      <c r="H280" s="283"/>
      <c r="I280" s="10"/>
      <c r="J280" s="9"/>
      <c r="M280" s="9"/>
    </row>
    <row r="281" spans="1:13" s="3" customFormat="1" x14ac:dyDescent="0.2">
      <c r="A281" s="66">
        <v>5512</v>
      </c>
      <c r="B281" s="67">
        <v>5156</v>
      </c>
      <c r="C281" s="64" t="s">
        <v>47</v>
      </c>
      <c r="D281" s="214">
        <v>75</v>
      </c>
      <c r="E281" s="215">
        <v>75</v>
      </c>
      <c r="F281" s="300">
        <f>53651.56+8557.21</f>
        <v>62208.77</v>
      </c>
      <c r="G281" s="265">
        <v>80</v>
      </c>
      <c r="H281" s="283"/>
      <c r="I281" s="10"/>
      <c r="J281" s="9"/>
      <c r="M281" s="9"/>
    </row>
    <row r="282" spans="1:13" s="3" customFormat="1" x14ac:dyDescent="0.2">
      <c r="A282" s="216">
        <v>5512</v>
      </c>
      <c r="B282" s="217">
        <v>5156</v>
      </c>
      <c r="C282" s="218" t="s">
        <v>243</v>
      </c>
      <c r="D282" s="222">
        <v>0</v>
      </c>
      <c r="E282" s="223">
        <v>25.5</v>
      </c>
      <c r="F282" s="302">
        <v>12851.2</v>
      </c>
      <c r="G282" s="265">
        <v>0</v>
      </c>
      <c r="H282" s="283"/>
      <c r="I282" s="10"/>
      <c r="J282" s="9"/>
      <c r="M282" s="9"/>
    </row>
    <row r="283" spans="1:13" s="3" customFormat="1" x14ac:dyDescent="0.2">
      <c r="A283" s="66">
        <v>5512</v>
      </c>
      <c r="B283" s="67">
        <v>5162</v>
      </c>
      <c r="C283" s="64" t="s">
        <v>112</v>
      </c>
      <c r="D283" s="214">
        <v>19</v>
      </c>
      <c r="E283" s="215">
        <v>19</v>
      </c>
      <c r="F283" s="300">
        <v>13118.57</v>
      </c>
      <c r="G283" s="265">
        <v>18</v>
      </c>
      <c r="H283" s="283"/>
      <c r="I283" s="10"/>
      <c r="J283" s="9"/>
      <c r="M283" s="9"/>
    </row>
    <row r="284" spans="1:13" s="3" customFormat="1" x14ac:dyDescent="0.2">
      <c r="A284" s="66">
        <v>5512</v>
      </c>
      <c r="B284" s="67">
        <v>5163</v>
      </c>
      <c r="C284" s="64" t="s">
        <v>153</v>
      </c>
      <c r="D284" s="214">
        <v>11</v>
      </c>
      <c r="E284" s="215">
        <v>11</v>
      </c>
      <c r="F284" s="300">
        <v>11924</v>
      </c>
      <c r="G284" s="265">
        <v>12</v>
      </c>
      <c r="H284" s="283"/>
      <c r="I284" s="10"/>
      <c r="J284" s="9"/>
      <c r="M284" s="9"/>
    </row>
    <row r="285" spans="1:13" s="3" customFormat="1" x14ac:dyDescent="0.2">
      <c r="A285" s="66">
        <v>5512</v>
      </c>
      <c r="B285" s="67">
        <v>5167</v>
      </c>
      <c r="C285" s="64" t="s">
        <v>59</v>
      </c>
      <c r="D285" s="214">
        <v>9</v>
      </c>
      <c r="E285" s="215">
        <v>9</v>
      </c>
      <c r="F285" s="300">
        <v>2500</v>
      </c>
      <c r="G285" s="265">
        <v>8</v>
      </c>
      <c r="H285" s="283"/>
      <c r="I285" s="10"/>
      <c r="J285" s="9"/>
      <c r="M285" s="9"/>
    </row>
    <row r="286" spans="1:13" s="3" customFormat="1" ht="45" x14ac:dyDescent="0.2">
      <c r="A286" s="66">
        <v>5512</v>
      </c>
      <c r="B286" s="67">
        <v>5168</v>
      </c>
      <c r="C286" s="64" t="s">
        <v>93</v>
      </c>
      <c r="D286" s="214">
        <v>16</v>
      </c>
      <c r="E286" s="215">
        <v>16</v>
      </c>
      <c r="F286" s="300">
        <f>11071.02+1210+1210</f>
        <v>13491.02</v>
      </c>
      <c r="G286" s="265">
        <v>16</v>
      </c>
      <c r="H286" s="283"/>
      <c r="I286" s="10"/>
      <c r="J286" s="9"/>
      <c r="M286" s="9"/>
    </row>
    <row r="287" spans="1:13" s="3" customFormat="1" ht="30" x14ac:dyDescent="0.2">
      <c r="A287" s="66">
        <v>5512</v>
      </c>
      <c r="B287" s="67">
        <v>5169</v>
      </c>
      <c r="C287" s="64" t="s">
        <v>287</v>
      </c>
      <c r="D287" s="214">
        <v>60</v>
      </c>
      <c r="E287" s="215">
        <v>60</v>
      </c>
      <c r="F287" s="300">
        <v>50790.39</v>
      </c>
      <c r="G287" s="265">
        <v>60</v>
      </c>
      <c r="H287" s="283"/>
      <c r="I287" s="10"/>
      <c r="J287" s="9"/>
      <c r="M287" s="9"/>
    </row>
    <row r="288" spans="1:13" s="3" customFormat="1" ht="19.5" customHeight="1" x14ac:dyDescent="0.2">
      <c r="A288" s="216">
        <v>5512</v>
      </c>
      <c r="B288" s="217">
        <v>5169</v>
      </c>
      <c r="C288" s="218" t="s">
        <v>330</v>
      </c>
      <c r="D288" s="222">
        <v>0</v>
      </c>
      <c r="E288" s="223">
        <v>0</v>
      </c>
      <c r="F288" s="302">
        <v>5085.8999999999996</v>
      </c>
      <c r="G288" s="265">
        <v>0</v>
      </c>
      <c r="H288" s="283"/>
      <c r="I288" s="10"/>
      <c r="J288" s="9"/>
      <c r="M288" s="9"/>
    </row>
    <row r="289" spans="1:13" s="3" customFormat="1" ht="30" x14ac:dyDescent="0.2">
      <c r="A289" s="66">
        <v>5512</v>
      </c>
      <c r="B289" s="67">
        <v>5171</v>
      </c>
      <c r="C289" s="64" t="s">
        <v>374</v>
      </c>
      <c r="D289" s="214">
        <v>80</v>
      </c>
      <c r="E289" s="215">
        <v>80</v>
      </c>
      <c r="F289" s="300">
        <f>42230.04+30360</f>
        <v>72590.040000000008</v>
      </c>
      <c r="G289" s="265">
        <v>80</v>
      </c>
      <c r="H289" s="283"/>
      <c r="I289" s="10"/>
      <c r="J289" s="9"/>
      <c r="M289" s="9"/>
    </row>
    <row r="290" spans="1:13" s="3" customFormat="1" x14ac:dyDescent="0.2">
      <c r="A290" s="66">
        <v>5512</v>
      </c>
      <c r="B290" s="67">
        <v>5171</v>
      </c>
      <c r="C290" s="64" t="s">
        <v>375</v>
      </c>
      <c r="D290" s="214">
        <v>0</v>
      </c>
      <c r="E290" s="215">
        <v>0</v>
      </c>
      <c r="F290" s="300">
        <v>0</v>
      </c>
      <c r="G290" s="265">
        <v>200</v>
      </c>
      <c r="H290" s="283"/>
      <c r="I290" s="10"/>
      <c r="J290" s="9"/>
      <c r="M290" s="9"/>
    </row>
    <row r="291" spans="1:13" s="3" customFormat="1" x14ac:dyDescent="0.2">
      <c r="A291" s="216">
        <v>5512</v>
      </c>
      <c r="B291" s="217">
        <v>5171</v>
      </c>
      <c r="C291" s="218" t="s">
        <v>240</v>
      </c>
      <c r="D291" s="222">
        <v>0</v>
      </c>
      <c r="E291" s="223">
        <v>100</v>
      </c>
      <c r="F291" s="302">
        <f>99263+737</f>
        <v>100000</v>
      </c>
      <c r="G291" s="265">
        <v>0</v>
      </c>
      <c r="H291" s="283"/>
      <c r="I291" s="10"/>
      <c r="J291" s="9"/>
      <c r="M291" s="9"/>
    </row>
    <row r="292" spans="1:13" s="3" customFormat="1" ht="63" x14ac:dyDescent="0.25">
      <c r="A292" s="66"/>
      <c r="B292" s="67"/>
      <c r="C292" s="127" t="s">
        <v>384</v>
      </c>
      <c r="D292" s="95"/>
      <c r="E292" s="95"/>
      <c r="F292" s="239"/>
      <c r="G292" s="265"/>
      <c r="H292" s="283"/>
      <c r="I292" s="10"/>
      <c r="J292" s="9"/>
      <c r="M292" s="9"/>
    </row>
    <row r="293" spans="1:13" s="3" customFormat="1" ht="31.5" x14ac:dyDescent="0.25">
      <c r="A293" s="66"/>
      <c r="B293" s="67"/>
      <c r="C293" s="127" t="s">
        <v>383</v>
      </c>
      <c r="D293" s="95"/>
      <c r="E293" s="95"/>
      <c r="F293" s="239"/>
      <c r="G293" s="265"/>
      <c r="H293" s="283"/>
      <c r="I293" s="10"/>
      <c r="J293" s="9"/>
      <c r="M293" s="9"/>
    </row>
    <row r="294" spans="1:13" s="3" customFormat="1" x14ac:dyDescent="0.2">
      <c r="A294" s="66">
        <v>5512</v>
      </c>
      <c r="B294" s="67">
        <v>6122</v>
      </c>
      <c r="C294" s="146" t="s">
        <v>372</v>
      </c>
      <c r="D294" s="204">
        <v>58</v>
      </c>
      <c r="E294" s="204">
        <v>58</v>
      </c>
      <c r="F294" s="273">
        <v>0</v>
      </c>
      <c r="G294" s="311">
        <v>0</v>
      </c>
      <c r="H294" s="312"/>
      <c r="I294" s="10"/>
      <c r="J294" s="9"/>
      <c r="M294" s="9"/>
    </row>
    <row r="295" spans="1:13" s="3" customFormat="1" ht="30" x14ac:dyDescent="0.2">
      <c r="A295" s="66">
        <v>5512</v>
      </c>
      <c r="B295" s="67">
        <v>6121</v>
      </c>
      <c r="C295" s="146" t="s">
        <v>373</v>
      </c>
      <c r="D295" s="204">
        <v>250</v>
      </c>
      <c r="E295" s="204">
        <f>250+11</f>
        <v>261</v>
      </c>
      <c r="F295" s="273">
        <f>241512.65+19662.5</f>
        <v>261175.15</v>
      </c>
      <c r="G295" s="311">
        <v>0</v>
      </c>
      <c r="H295" s="312"/>
      <c r="I295" s="10"/>
      <c r="J295" s="9"/>
      <c r="M295" s="9"/>
    </row>
    <row r="296" spans="1:13" s="3" customFormat="1" x14ac:dyDescent="0.2">
      <c r="A296" s="66">
        <v>5512</v>
      </c>
      <c r="B296" s="67">
        <v>6121</v>
      </c>
      <c r="C296" s="146" t="s">
        <v>387</v>
      </c>
      <c r="D296" s="204">
        <v>0</v>
      </c>
      <c r="E296" s="204">
        <v>0</v>
      </c>
      <c r="F296" s="273">
        <v>0</v>
      </c>
      <c r="G296" s="305">
        <v>400</v>
      </c>
      <c r="H296" s="284"/>
      <c r="I296" s="10"/>
      <c r="J296" s="9"/>
      <c r="M296" s="9"/>
    </row>
    <row r="297" spans="1:13" s="3" customFormat="1" ht="15.75" x14ac:dyDescent="0.25">
      <c r="A297" s="32">
        <v>5512</v>
      </c>
      <c r="B297" s="33"/>
      <c r="C297" s="78" t="s">
        <v>100</v>
      </c>
      <c r="D297" s="96">
        <f>SUM(D272:D296)</f>
        <v>893</v>
      </c>
      <c r="E297" s="96">
        <f>SUM(E272:E296)</f>
        <v>1341.5</v>
      </c>
      <c r="F297" s="251">
        <f>SUM(F272:F296)</f>
        <v>965383.94000000018</v>
      </c>
      <c r="G297" s="306">
        <f>SUM(G272:G296)</f>
        <v>1350</v>
      </c>
      <c r="H297" s="286">
        <f>G297</f>
        <v>1350</v>
      </c>
      <c r="I297" s="10"/>
      <c r="J297" s="9"/>
      <c r="M297" s="9"/>
    </row>
    <row r="298" spans="1:13" s="3" customFormat="1" ht="15.75" x14ac:dyDescent="0.25">
      <c r="A298" s="32"/>
      <c r="B298" s="33"/>
      <c r="C298" s="77"/>
      <c r="D298" s="95"/>
      <c r="E298" s="95"/>
      <c r="F298" s="239"/>
      <c r="G298" s="265"/>
      <c r="H298" s="283"/>
      <c r="I298" s="10"/>
      <c r="J298" s="9"/>
      <c r="M298" s="9"/>
    </row>
    <row r="299" spans="1:13" s="3" customFormat="1" x14ac:dyDescent="0.2">
      <c r="A299" s="12">
        <v>6112</v>
      </c>
      <c r="B299" s="63">
        <v>5023</v>
      </c>
      <c r="C299" s="86" t="s">
        <v>68</v>
      </c>
      <c r="D299" s="95">
        <v>2960</v>
      </c>
      <c r="E299" s="95">
        <v>2960</v>
      </c>
      <c r="F299" s="239">
        <f>2541747-156356</f>
        <v>2385391</v>
      </c>
      <c r="G299" s="265">
        <v>3260</v>
      </c>
      <c r="H299" s="283"/>
      <c r="I299" s="10"/>
      <c r="J299" s="9"/>
      <c r="M299" s="9"/>
    </row>
    <row r="300" spans="1:13" s="3" customFormat="1" x14ac:dyDescent="0.2">
      <c r="A300" s="66">
        <v>6112</v>
      </c>
      <c r="B300" s="67">
        <v>5026</v>
      </c>
      <c r="C300" s="64" t="s">
        <v>238</v>
      </c>
      <c r="D300" s="95">
        <v>350</v>
      </c>
      <c r="E300" s="95">
        <v>350</v>
      </c>
      <c r="F300" s="239">
        <v>156356</v>
      </c>
      <c r="G300" s="265">
        <v>0</v>
      </c>
      <c r="H300" s="283"/>
      <c r="I300" s="10"/>
      <c r="J300" s="9"/>
      <c r="M300" s="9"/>
    </row>
    <row r="301" spans="1:13" s="10" customFormat="1" ht="30" x14ac:dyDescent="0.2">
      <c r="A301" s="66">
        <v>6112</v>
      </c>
      <c r="B301" s="67">
        <v>5031</v>
      </c>
      <c r="C301" s="64" t="s">
        <v>162</v>
      </c>
      <c r="D301" s="95">
        <v>412</v>
      </c>
      <c r="E301" s="95">
        <v>412</v>
      </c>
      <c r="F301" s="239">
        <v>337500</v>
      </c>
      <c r="G301" s="265">
        <v>456</v>
      </c>
      <c r="H301" s="283"/>
      <c r="J301" s="9"/>
    </row>
    <row r="302" spans="1:13" s="10" customFormat="1" x14ac:dyDescent="0.2">
      <c r="A302" s="66">
        <v>6112</v>
      </c>
      <c r="B302" s="67">
        <v>5032</v>
      </c>
      <c r="C302" s="64" t="s">
        <v>33</v>
      </c>
      <c r="D302" s="95">
        <v>268</v>
      </c>
      <c r="E302" s="95">
        <v>268</v>
      </c>
      <c r="F302" s="239">
        <v>215135</v>
      </c>
      <c r="G302" s="265">
        <v>294</v>
      </c>
      <c r="H302" s="283"/>
      <c r="J302" s="9"/>
    </row>
    <row r="303" spans="1:13" s="10" customFormat="1" x14ac:dyDescent="0.2">
      <c r="A303" s="66">
        <v>6112</v>
      </c>
      <c r="B303" s="67">
        <v>5137</v>
      </c>
      <c r="C303" s="64" t="s">
        <v>177</v>
      </c>
      <c r="D303" s="95">
        <v>200</v>
      </c>
      <c r="E303" s="95">
        <v>200</v>
      </c>
      <c r="F303" s="239">
        <v>64443</v>
      </c>
      <c r="G303" s="265">
        <v>0</v>
      </c>
      <c r="H303" s="283"/>
      <c r="J303" s="9"/>
    </row>
    <row r="304" spans="1:13" s="10" customFormat="1" x14ac:dyDescent="0.2">
      <c r="A304" s="66">
        <v>6112</v>
      </c>
      <c r="B304" s="67">
        <v>5139</v>
      </c>
      <c r="C304" s="64" t="s">
        <v>4</v>
      </c>
      <c r="D304" s="95">
        <v>2</v>
      </c>
      <c r="E304" s="95">
        <v>2</v>
      </c>
      <c r="F304" s="239">
        <v>0</v>
      </c>
      <c r="G304" s="265">
        <v>3</v>
      </c>
      <c r="H304" s="283"/>
      <c r="J304" s="9"/>
    </row>
    <row r="305" spans="1:10" s="10" customFormat="1" x14ac:dyDescent="0.2">
      <c r="A305" s="66">
        <v>6112</v>
      </c>
      <c r="B305" s="67">
        <v>5156</v>
      </c>
      <c r="C305" s="64" t="s">
        <v>49</v>
      </c>
      <c r="D305" s="95">
        <v>11.5</v>
      </c>
      <c r="E305" s="95">
        <v>11.5</v>
      </c>
      <c r="F305" s="239">
        <v>9710.58</v>
      </c>
      <c r="G305" s="265">
        <v>14</v>
      </c>
      <c r="H305" s="283"/>
      <c r="J305" s="9"/>
    </row>
    <row r="306" spans="1:10" s="10" customFormat="1" x14ac:dyDescent="0.2">
      <c r="A306" s="66">
        <v>6112</v>
      </c>
      <c r="B306" s="67">
        <v>5168</v>
      </c>
      <c r="C306" s="64" t="s">
        <v>77</v>
      </c>
      <c r="D306" s="95">
        <v>40</v>
      </c>
      <c r="E306" s="95">
        <v>40</v>
      </c>
      <c r="F306" s="239">
        <f>12037+2500</f>
        <v>14537</v>
      </c>
      <c r="G306" s="265">
        <v>40</v>
      </c>
      <c r="H306" s="283"/>
      <c r="J306" s="9"/>
    </row>
    <row r="307" spans="1:10" s="10" customFormat="1" x14ac:dyDescent="0.2">
      <c r="A307" s="66">
        <v>6112</v>
      </c>
      <c r="B307" s="67">
        <v>5169</v>
      </c>
      <c r="C307" s="64" t="s">
        <v>38</v>
      </c>
      <c r="D307" s="95">
        <v>8</v>
      </c>
      <c r="E307" s="95">
        <v>8</v>
      </c>
      <c r="F307" s="239">
        <v>10260</v>
      </c>
      <c r="G307" s="265">
        <v>12</v>
      </c>
      <c r="H307" s="283"/>
      <c r="J307" s="9"/>
    </row>
    <row r="308" spans="1:10" s="10" customFormat="1" ht="30" x14ac:dyDescent="0.2">
      <c r="A308" s="66">
        <v>6112</v>
      </c>
      <c r="B308" s="67">
        <v>5172</v>
      </c>
      <c r="C308" s="64" t="s">
        <v>337</v>
      </c>
      <c r="D308" s="95">
        <v>0</v>
      </c>
      <c r="E308" s="95">
        <v>0</v>
      </c>
      <c r="F308" s="239">
        <v>18906</v>
      </c>
      <c r="G308" s="265">
        <v>0</v>
      </c>
      <c r="H308" s="283"/>
      <c r="J308" s="9"/>
    </row>
    <row r="309" spans="1:10" s="10" customFormat="1" x14ac:dyDescent="0.2">
      <c r="A309" s="66">
        <v>6112</v>
      </c>
      <c r="B309" s="67">
        <v>5173</v>
      </c>
      <c r="C309" s="64" t="s">
        <v>22</v>
      </c>
      <c r="D309" s="95">
        <v>8</v>
      </c>
      <c r="E309" s="95">
        <v>8</v>
      </c>
      <c r="F309" s="239">
        <v>1987</v>
      </c>
      <c r="G309" s="265">
        <v>6.5</v>
      </c>
      <c r="H309" s="283"/>
      <c r="J309" s="9"/>
    </row>
    <row r="310" spans="1:10" s="10" customFormat="1" x14ac:dyDescent="0.2">
      <c r="A310" s="66">
        <v>6112</v>
      </c>
      <c r="B310" s="67">
        <v>5175</v>
      </c>
      <c r="C310" s="64" t="s">
        <v>13</v>
      </c>
      <c r="D310" s="95">
        <v>18</v>
      </c>
      <c r="E310" s="95">
        <v>18</v>
      </c>
      <c r="F310" s="239">
        <v>6404</v>
      </c>
      <c r="G310" s="265">
        <v>20</v>
      </c>
      <c r="H310" s="283"/>
      <c r="J310" s="9"/>
    </row>
    <row r="311" spans="1:10" s="10" customFormat="1" x14ac:dyDescent="0.2">
      <c r="A311" s="66">
        <v>6112</v>
      </c>
      <c r="B311" s="67">
        <v>5192</v>
      </c>
      <c r="C311" s="64" t="s">
        <v>105</v>
      </c>
      <c r="D311" s="95">
        <v>20</v>
      </c>
      <c r="E311" s="95">
        <v>20</v>
      </c>
      <c r="F311" s="239">
        <v>20000</v>
      </c>
      <c r="G311" s="265">
        <v>20</v>
      </c>
      <c r="H311" s="283"/>
      <c r="J311" s="9"/>
    </row>
    <row r="312" spans="1:10" s="10" customFormat="1" ht="30" x14ac:dyDescent="0.2">
      <c r="A312" s="66">
        <v>6112</v>
      </c>
      <c r="B312" s="67">
        <v>5222</v>
      </c>
      <c r="C312" s="64" t="s">
        <v>376</v>
      </c>
      <c r="D312" s="95">
        <v>30</v>
      </c>
      <c r="E312" s="95">
        <v>30</v>
      </c>
      <c r="F312" s="239">
        <f>10000+20000</f>
        <v>30000</v>
      </c>
      <c r="G312" s="265">
        <v>30</v>
      </c>
      <c r="H312" s="283"/>
      <c r="J312" s="9"/>
    </row>
    <row r="313" spans="1:10" s="10" customFormat="1" x14ac:dyDescent="0.2">
      <c r="A313" s="66"/>
      <c r="B313" s="67">
        <v>5229</v>
      </c>
      <c r="C313" s="64" t="s">
        <v>388</v>
      </c>
      <c r="D313" s="95">
        <v>0</v>
      </c>
      <c r="E313" s="95">
        <v>0</v>
      </c>
      <c r="F313" s="239">
        <v>0</v>
      </c>
      <c r="G313" s="265">
        <v>115</v>
      </c>
      <c r="H313" s="283"/>
      <c r="J313" s="9"/>
    </row>
    <row r="314" spans="1:10" s="10" customFormat="1" x14ac:dyDescent="0.2">
      <c r="A314" s="66">
        <v>6112</v>
      </c>
      <c r="B314" s="67">
        <v>5362</v>
      </c>
      <c r="C314" s="64" t="s">
        <v>101</v>
      </c>
      <c r="D314" s="95">
        <v>1.5</v>
      </c>
      <c r="E314" s="95">
        <v>1.5</v>
      </c>
      <c r="F314" s="239">
        <v>1500</v>
      </c>
      <c r="G314" s="265">
        <v>1.5</v>
      </c>
      <c r="H314" s="283"/>
      <c r="J314" s="9"/>
    </row>
    <row r="315" spans="1:10" s="10" customFormat="1" x14ac:dyDescent="0.2">
      <c r="A315" s="66">
        <v>6112</v>
      </c>
      <c r="B315" s="67">
        <v>5492</v>
      </c>
      <c r="C315" s="64" t="s">
        <v>111</v>
      </c>
      <c r="D315" s="95">
        <v>110</v>
      </c>
      <c r="E315" s="95">
        <v>110</v>
      </c>
      <c r="F315" s="239">
        <v>35000</v>
      </c>
      <c r="G315" s="265">
        <v>80</v>
      </c>
      <c r="H315" s="283"/>
      <c r="J315" s="9"/>
    </row>
    <row r="316" spans="1:10" s="10" customFormat="1" x14ac:dyDescent="0.2">
      <c r="A316" s="66">
        <v>6112</v>
      </c>
      <c r="B316" s="67">
        <v>5499</v>
      </c>
      <c r="C316" s="64" t="s">
        <v>234</v>
      </c>
      <c r="D316" s="95">
        <v>34</v>
      </c>
      <c r="E316" s="95">
        <v>34</v>
      </c>
      <c r="F316" s="239">
        <v>27000</v>
      </c>
      <c r="G316" s="265">
        <v>34</v>
      </c>
      <c r="H316" s="283"/>
      <c r="J316" s="9"/>
    </row>
    <row r="317" spans="1:10" s="10" customFormat="1" ht="15.75" x14ac:dyDescent="0.25">
      <c r="A317" s="32">
        <v>6112</v>
      </c>
      <c r="B317" s="33"/>
      <c r="C317" s="76" t="s">
        <v>26</v>
      </c>
      <c r="D317" s="96">
        <f>SUM(D299:D316)</f>
        <v>4473</v>
      </c>
      <c r="E317" s="96">
        <f>SUM(E299:E316)</f>
        <v>4473</v>
      </c>
      <c r="F317" s="251">
        <f>SUM(F299:F316)</f>
        <v>3334129.58</v>
      </c>
      <c r="G317" s="306">
        <f>SUM(G299:G316)</f>
        <v>4386</v>
      </c>
      <c r="H317" s="286">
        <f>G317</f>
        <v>4386</v>
      </c>
      <c r="J317" s="9"/>
    </row>
    <row r="318" spans="1:10" s="10" customFormat="1" ht="15.75" x14ac:dyDescent="0.25">
      <c r="A318" s="32"/>
      <c r="B318" s="228"/>
      <c r="C318" s="76"/>
      <c r="D318" s="96"/>
      <c r="E318" s="96"/>
      <c r="F318" s="251"/>
      <c r="G318" s="306"/>
      <c r="H318" s="286"/>
      <c r="J318" s="9"/>
    </row>
    <row r="319" spans="1:10" s="10" customFormat="1" ht="30" x14ac:dyDescent="0.2">
      <c r="A319" s="12">
        <v>6115</v>
      </c>
      <c r="B319" s="63">
        <v>5021</v>
      </c>
      <c r="C319" s="64" t="s">
        <v>317</v>
      </c>
      <c r="D319" s="95">
        <v>0</v>
      </c>
      <c r="E319" s="95">
        <v>13</v>
      </c>
      <c r="F319" s="239">
        <v>0</v>
      </c>
      <c r="G319" s="265">
        <v>0</v>
      </c>
      <c r="H319" s="283"/>
      <c r="J319" s="9"/>
    </row>
    <row r="320" spans="1:10" s="10" customFormat="1" x14ac:dyDescent="0.2">
      <c r="A320" s="12">
        <v>6115</v>
      </c>
      <c r="B320" s="63">
        <v>5021</v>
      </c>
      <c r="C320" s="64" t="s">
        <v>306</v>
      </c>
      <c r="D320" s="95">
        <v>0</v>
      </c>
      <c r="E320" s="95">
        <v>127.5</v>
      </c>
      <c r="F320" s="239">
        <v>140311</v>
      </c>
      <c r="G320" s="265">
        <v>0</v>
      </c>
      <c r="H320" s="283"/>
      <c r="J320" s="9"/>
    </row>
    <row r="321" spans="1:13" s="10" customFormat="1" x14ac:dyDescent="0.2">
      <c r="A321" s="12">
        <v>6115</v>
      </c>
      <c r="B321" s="63">
        <v>5139</v>
      </c>
      <c r="C321" s="64" t="s">
        <v>4</v>
      </c>
      <c r="D321" s="95">
        <v>0</v>
      </c>
      <c r="E321" s="95">
        <v>26.7</v>
      </c>
      <c r="F321" s="239">
        <v>26678.91</v>
      </c>
      <c r="G321" s="265">
        <v>0</v>
      </c>
      <c r="H321" s="283"/>
      <c r="J321" s="9"/>
    </row>
    <row r="322" spans="1:13" s="10" customFormat="1" x14ac:dyDescent="0.2">
      <c r="A322" s="12">
        <v>6115</v>
      </c>
      <c r="B322" s="63">
        <v>5162</v>
      </c>
      <c r="C322" s="64" t="s">
        <v>307</v>
      </c>
      <c r="D322" s="95">
        <v>0</v>
      </c>
      <c r="E322" s="95">
        <v>2.2000000000000002</v>
      </c>
      <c r="F322" s="239">
        <v>2169.09</v>
      </c>
      <c r="G322" s="265">
        <v>0</v>
      </c>
      <c r="H322" s="283"/>
      <c r="J322" s="9"/>
    </row>
    <row r="323" spans="1:13" s="10" customFormat="1" x14ac:dyDescent="0.2">
      <c r="A323" s="12">
        <v>6115</v>
      </c>
      <c r="B323" s="63">
        <v>5164</v>
      </c>
      <c r="C323" s="77" t="s">
        <v>308</v>
      </c>
      <c r="D323" s="95">
        <v>0</v>
      </c>
      <c r="E323" s="95">
        <v>18</v>
      </c>
      <c r="F323" s="239">
        <v>18000</v>
      </c>
      <c r="G323" s="265">
        <v>0</v>
      </c>
      <c r="H323" s="283"/>
      <c r="J323" s="9"/>
    </row>
    <row r="324" spans="1:13" s="10" customFormat="1" x14ac:dyDescent="0.2">
      <c r="A324" s="12">
        <v>6115</v>
      </c>
      <c r="B324" s="63">
        <v>5168</v>
      </c>
      <c r="C324" s="64" t="s">
        <v>77</v>
      </c>
      <c r="D324" s="95">
        <v>0</v>
      </c>
      <c r="E324" s="95">
        <v>2.2000000000000002</v>
      </c>
      <c r="F324" s="239">
        <v>2200</v>
      </c>
      <c r="G324" s="265">
        <v>0</v>
      </c>
      <c r="H324" s="283"/>
      <c r="J324" s="9"/>
    </row>
    <row r="325" spans="1:13" s="10" customFormat="1" x14ac:dyDescent="0.2">
      <c r="A325" s="12">
        <v>6115</v>
      </c>
      <c r="B325" s="63">
        <v>5169</v>
      </c>
      <c r="C325" s="64" t="s">
        <v>154</v>
      </c>
      <c r="D325" s="95">
        <v>0</v>
      </c>
      <c r="E325" s="95">
        <v>24</v>
      </c>
      <c r="F325" s="239">
        <f>18700+5300</f>
        <v>24000</v>
      </c>
      <c r="G325" s="265">
        <v>0</v>
      </c>
      <c r="H325" s="283"/>
      <c r="J325" s="9"/>
    </row>
    <row r="326" spans="1:13" s="10" customFormat="1" x14ac:dyDescent="0.2">
      <c r="A326" s="12">
        <v>6115</v>
      </c>
      <c r="B326" s="63">
        <v>5175</v>
      </c>
      <c r="C326" s="64" t="s">
        <v>13</v>
      </c>
      <c r="D326" s="95">
        <v>0</v>
      </c>
      <c r="E326" s="95">
        <v>11.4</v>
      </c>
      <c r="F326" s="239">
        <v>11438</v>
      </c>
      <c r="G326" s="265">
        <v>0</v>
      </c>
      <c r="H326" s="283"/>
      <c r="J326" s="9"/>
    </row>
    <row r="327" spans="1:13" s="10" customFormat="1" x14ac:dyDescent="0.2">
      <c r="A327" s="12">
        <v>6115</v>
      </c>
      <c r="B327" s="63">
        <v>5169</v>
      </c>
      <c r="C327" s="64" t="s">
        <v>320</v>
      </c>
      <c r="D327" s="95">
        <v>0</v>
      </c>
      <c r="E327" s="95">
        <v>15</v>
      </c>
      <c r="F327" s="239">
        <v>4840</v>
      </c>
      <c r="G327" s="265">
        <v>0</v>
      </c>
      <c r="H327" s="283"/>
      <c r="J327" s="9"/>
    </row>
    <row r="328" spans="1:13" s="99" customFormat="1" ht="31.5" x14ac:dyDescent="0.25">
      <c r="A328" s="35">
        <v>6115</v>
      </c>
      <c r="B328" s="229"/>
      <c r="C328" s="78" t="s">
        <v>324</v>
      </c>
      <c r="D328" s="96">
        <f>SUM(D319:D327)</f>
        <v>0</v>
      </c>
      <c r="E328" s="96">
        <f t="shared" ref="E328:F328" si="6">SUM(E319:E327)</f>
        <v>239.99999999999997</v>
      </c>
      <c r="F328" s="285">
        <f t="shared" si="6"/>
        <v>229637</v>
      </c>
      <c r="G328" s="306">
        <f>SUM(G319:G327)</f>
        <v>0</v>
      </c>
      <c r="H328" s="286">
        <f>G328</f>
        <v>0</v>
      </c>
      <c r="J328" s="5"/>
      <c r="M328" s="10"/>
    </row>
    <row r="329" spans="1:13" s="9" customFormat="1" x14ac:dyDescent="0.2">
      <c r="A329" s="12"/>
      <c r="B329" s="63"/>
      <c r="C329" s="77"/>
      <c r="D329" s="95"/>
      <c r="E329" s="95"/>
      <c r="F329" s="239"/>
      <c r="G329" s="265"/>
      <c r="H329" s="283"/>
      <c r="I329" s="10"/>
    </row>
    <row r="330" spans="1:13" s="3" customFormat="1" x14ac:dyDescent="0.2">
      <c r="A330" s="12">
        <v>6171</v>
      </c>
      <c r="B330" s="63">
        <v>5011</v>
      </c>
      <c r="C330" s="86" t="s">
        <v>14</v>
      </c>
      <c r="D330" s="95">
        <v>6970</v>
      </c>
      <c r="E330" s="95">
        <v>6970</v>
      </c>
      <c r="F330" s="239">
        <f>5200365-46364</f>
        <v>5154001</v>
      </c>
      <c r="G330" s="265">
        <v>7500</v>
      </c>
      <c r="H330" s="283"/>
      <c r="I330" s="10"/>
      <c r="J330" s="9"/>
      <c r="M330" s="9"/>
    </row>
    <row r="331" spans="1:13" s="3" customFormat="1" x14ac:dyDescent="0.2">
      <c r="A331" s="66">
        <v>6171</v>
      </c>
      <c r="B331" s="67">
        <v>5021</v>
      </c>
      <c r="C331" s="64" t="s">
        <v>17</v>
      </c>
      <c r="D331" s="95">
        <v>300</v>
      </c>
      <c r="E331" s="95">
        <v>300</v>
      </c>
      <c r="F331" s="239">
        <v>92154</v>
      </c>
      <c r="G331" s="265">
        <v>300</v>
      </c>
      <c r="H331" s="283"/>
      <c r="I331" s="10"/>
      <c r="J331" s="9"/>
      <c r="M331" s="9"/>
    </row>
    <row r="332" spans="1:13" s="3" customFormat="1" ht="30" x14ac:dyDescent="0.2">
      <c r="A332" s="66">
        <v>6171</v>
      </c>
      <c r="B332" s="67">
        <v>5031</v>
      </c>
      <c r="C332" s="64" t="s">
        <v>162</v>
      </c>
      <c r="D332" s="95">
        <v>1767</v>
      </c>
      <c r="E332" s="95">
        <v>1767</v>
      </c>
      <c r="F332" s="239">
        <v>1273914</v>
      </c>
      <c r="G332" s="265">
        <v>1875</v>
      </c>
      <c r="H332" s="283"/>
      <c r="I332" s="10"/>
      <c r="J332" s="9"/>
      <c r="M332" s="9"/>
    </row>
    <row r="333" spans="1:13" s="3" customFormat="1" x14ac:dyDescent="0.2">
      <c r="A333" s="66">
        <v>6171</v>
      </c>
      <c r="B333" s="67">
        <v>5032</v>
      </c>
      <c r="C333" s="64" t="s">
        <v>33</v>
      </c>
      <c r="D333" s="95">
        <v>635</v>
      </c>
      <c r="E333" s="95">
        <v>635</v>
      </c>
      <c r="F333" s="239">
        <v>462306</v>
      </c>
      <c r="G333" s="265">
        <v>695</v>
      </c>
      <c r="H333" s="283"/>
      <c r="I333" s="10"/>
      <c r="J333" s="9"/>
      <c r="M333" s="9"/>
    </row>
    <row r="334" spans="1:13" s="3" customFormat="1" ht="30" x14ac:dyDescent="0.2">
      <c r="A334" s="66">
        <v>6171</v>
      </c>
      <c r="B334" s="67">
        <v>5038</v>
      </c>
      <c r="C334" s="64" t="s">
        <v>227</v>
      </c>
      <c r="D334" s="95">
        <v>50</v>
      </c>
      <c r="E334" s="95">
        <v>50</v>
      </c>
      <c r="F334" s="239">
        <v>41997</v>
      </c>
      <c r="G334" s="265">
        <v>60</v>
      </c>
      <c r="H334" s="283"/>
      <c r="I334" s="10"/>
      <c r="J334" s="9"/>
      <c r="M334" s="9"/>
    </row>
    <row r="335" spans="1:13" s="3" customFormat="1" x14ac:dyDescent="0.2">
      <c r="A335" s="66">
        <v>6171</v>
      </c>
      <c r="B335" s="67">
        <v>5133</v>
      </c>
      <c r="C335" s="64" t="s">
        <v>239</v>
      </c>
      <c r="D335" s="95">
        <v>0</v>
      </c>
      <c r="E335" s="95">
        <v>0</v>
      </c>
      <c r="F335" s="239">
        <v>1965</v>
      </c>
      <c r="G335" s="265">
        <v>1</v>
      </c>
      <c r="H335" s="283"/>
      <c r="I335" s="10"/>
      <c r="J335" s="9"/>
      <c r="M335" s="9"/>
    </row>
    <row r="336" spans="1:13" s="3" customFormat="1" x14ac:dyDescent="0.2">
      <c r="A336" s="66">
        <v>6171</v>
      </c>
      <c r="B336" s="67">
        <v>5134</v>
      </c>
      <c r="C336" s="64" t="s">
        <v>288</v>
      </c>
      <c r="D336" s="95">
        <v>20</v>
      </c>
      <c r="E336" s="95">
        <v>20</v>
      </c>
      <c r="F336" s="239">
        <v>0</v>
      </c>
      <c r="G336" s="265">
        <v>10</v>
      </c>
      <c r="H336" s="283"/>
      <c r="I336" s="10"/>
      <c r="J336" s="9"/>
      <c r="M336" s="9"/>
    </row>
    <row r="337" spans="1:13" s="3" customFormat="1" x14ac:dyDescent="0.2">
      <c r="A337" s="66">
        <v>6171</v>
      </c>
      <c r="B337" s="67">
        <v>5136</v>
      </c>
      <c r="C337" s="64" t="s">
        <v>224</v>
      </c>
      <c r="D337" s="95">
        <v>10</v>
      </c>
      <c r="E337" s="95">
        <v>10</v>
      </c>
      <c r="F337" s="239">
        <v>5067</v>
      </c>
      <c r="G337" s="265">
        <v>7</v>
      </c>
      <c r="H337" s="283"/>
      <c r="I337" s="10"/>
      <c r="J337" s="9"/>
      <c r="M337" s="9"/>
    </row>
    <row r="338" spans="1:13" s="3" customFormat="1" x14ac:dyDescent="0.2">
      <c r="A338" s="66">
        <v>6171</v>
      </c>
      <c r="B338" s="67">
        <v>5137</v>
      </c>
      <c r="C338" s="64" t="s">
        <v>36</v>
      </c>
      <c r="D338" s="95">
        <v>180</v>
      </c>
      <c r="E338" s="95">
        <v>180</v>
      </c>
      <c r="F338" s="239">
        <v>117789</v>
      </c>
      <c r="G338" s="265">
        <v>190</v>
      </c>
      <c r="H338" s="283"/>
      <c r="I338" s="10"/>
      <c r="J338" s="9"/>
      <c r="M338" s="9"/>
    </row>
    <row r="339" spans="1:13" s="3" customFormat="1" x14ac:dyDescent="0.2">
      <c r="A339" s="66">
        <v>6171</v>
      </c>
      <c r="B339" s="67">
        <v>5139</v>
      </c>
      <c r="C339" s="64" t="s">
        <v>4</v>
      </c>
      <c r="D339" s="95">
        <v>180</v>
      </c>
      <c r="E339" s="95">
        <v>180</v>
      </c>
      <c r="F339" s="239">
        <v>95009.48</v>
      </c>
      <c r="G339" s="265">
        <v>180</v>
      </c>
      <c r="H339" s="283"/>
      <c r="I339" s="10"/>
      <c r="J339" s="9"/>
      <c r="M339" s="9"/>
    </row>
    <row r="340" spans="1:13" s="3" customFormat="1" x14ac:dyDescent="0.2">
      <c r="A340" s="66">
        <v>6171</v>
      </c>
      <c r="B340" s="67">
        <v>5151</v>
      </c>
      <c r="C340" s="64" t="s">
        <v>10</v>
      </c>
      <c r="D340" s="95">
        <v>45</v>
      </c>
      <c r="E340" s="95">
        <v>45</v>
      </c>
      <c r="F340" s="239">
        <v>46341</v>
      </c>
      <c r="G340" s="265">
        <v>50</v>
      </c>
      <c r="H340" s="283"/>
      <c r="I340" s="10"/>
      <c r="J340" s="9"/>
      <c r="M340" s="9"/>
    </row>
    <row r="341" spans="1:13" s="3" customFormat="1" x14ac:dyDescent="0.2">
      <c r="A341" s="66">
        <v>6171</v>
      </c>
      <c r="B341" s="67">
        <v>5153</v>
      </c>
      <c r="C341" s="64" t="s">
        <v>11</v>
      </c>
      <c r="D341" s="95">
        <v>280</v>
      </c>
      <c r="E341" s="95">
        <f>280+30</f>
        <v>310</v>
      </c>
      <c r="F341" s="239">
        <v>272300</v>
      </c>
      <c r="G341" s="265">
        <v>375</v>
      </c>
      <c r="H341" s="283"/>
      <c r="I341" s="10"/>
      <c r="J341" s="9"/>
      <c r="M341" s="9"/>
    </row>
    <row r="342" spans="1:13" s="3" customFormat="1" x14ac:dyDescent="0.2">
      <c r="A342" s="66">
        <v>6171</v>
      </c>
      <c r="B342" s="67">
        <v>5154</v>
      </c>
      <c r="C342" s="64" t="s">
        <v>12</v>
      </c>
      <c r="D342" s="95">
        <v>180</v>
      </c>
      <c r="E342" s="95">
        <v>180</v>
      </c>
      <c r="F342" s="239">
        <v>84210</v>
      </c>
      <c r="G342" s="265">
        <v>215</v>
      </c>
      <c r="H342" s="283"/>
      <c r="I342" s="10"/>
      <c r="J342" s="9"/>
      <c r="M342" s="9"/>
    </row>
    <row r="343" spans="1:13" s="3" customFormat="1" x14ac:dyDescent="0.2">
      <c r="A343" s="66">
        <v>6171</v>
      </c>
      <c r="B343" s="67">
        <v>5156</v>
      </c>
      <c r="C343" s="64" t="s">
        <v>21</v>
      </c>
      <c r="D343" s="95">
        <v>15</v>
      </c>
      <c r="E343" s="95">
        <v>15</v>
      </c>
      <c r="F343" s="239">
        <v>12324.28</v>
      </c>
      <c r="G343" s="265">
        <v>16</v>
      </c>
      <c r="H343" s="283"/>
      <c r="I343" s="10"/>
      <c r="J343" s="9"/>
      <c r="M343" s="9"/>
    </row>
    <row r="344" spans="1:13" s="3" customFormat="1" x14ac:dyDescent="0.2">
      <c r="A344" s="66">
        <v>6171</v>
      </c>
      <c r="B344" s="67">
        <v>5161</v>
      </c>
      <c r="C344" s="64" t="s">
        <v>65</v>
      </c>
      <c r="D344" s="95">
        <v>60</v>
      </c>
      <c r="E344" s="95">
        <v>60</v>
      </c>
      <c r="F344" s="239">
        <v>24307</v>
      </c>
      <c r="G344" s="265">
        <v>60</v>
      </c>
      <c r="H344" s="283"/>
      <c r="I344" s="10"/>
      <c r="J344" s="9"/>
      <c r="M344" s="9"/>
    </row>
    <row r="345" spans="1:13" s="3" customFormat="1" x14ac:dyDescent="0.2">
      <c r="A345" s="66">
        <v>6171</v>
      </c>
      <c r="B345" s="67">
        <v>5162</v>
      </c>
      <c r="C345" s="64" t="s">
        <v>112</v>
      </c>
      <c r="D345" s="95">
        <v>140</v>
      </c>
      <c r="E345" s="95">
        <v>140</v>
      </c>
      <c r="F345" s="239">
        <v>95864.5</v>
      </c>
      <c r="G345" s="265">
        <v>140</v>
      </c>
      <c r="H345" s="283"/>
      <c r="I345" s="10"/>
      <c r="J345" s="9"/>
      <c r="M345" s="9"/>
    </row>
    <row r="346" spans="1:13" s="3" customFormat="1" x14ac:dyDescent="0.2">
      <c r="A346" s="66">
        <v>6171</v>
      </c>
      <c r="B346" s="67">
        <v>5166</v>
      </c>
      <c r="C346" s="64" t="s">
        <v>23</v>
      </c>
      <c r="D346" s="95">
        <v>950</v>
      </c>
      <c r="E346" s="95">
        <v>950</v>
      </c>
      <c r="F346" s="239">
        <f>713900+18150</f>
        <v>732050</v>
      </c>
      <c r="G346" s="265">
        <v>950</v>
      </c>
      <c r="H346" s="283"/>
      <c r="I346" s="10"/>
      <c r="J346" s="9"/>
      <c r="M346" s="9"/>
    </row>
    <row r="347" spans="1:13" s="3" customFormat="1" x14ac:dyDescent="0.2">
      <c r="A347" s="66">
        <v>6171</v>
      </c>
      <c r="B347" s="67">
        <v>5167</v>
      </c>
      <c r="C347" s="64" t="s">
        <v>377</v>
      </c>
      <c r="D347" s="95">
        <v>30</v>
      </c>
      <c r="E347" s="95">
        <v>30</v>
      </c>
      <c r="F347" s="239">
        <v>10159.9</v>
      </c>
      <c r="G347" s="265">
        <v>15</v>
      </c>
      <c r="H347" s="283"/>
      <c r="I347" s="10"/>
      <c r="J347" s="9"/>
      <c r="M347" s="9"/>
    </row>
    <row r="348" spans="1:13" s="3" customFormat="1" x14ac:dyDescent="0.2">
      <c r="A348" s="66">
        <v>6171</v>
      </c>
      <c r="B348" s="67">
        <v>5168</v>
      </c>
      <c r="C348" s="64" t="s">
        <v>77</v>
      </c>
      <c r="D348" s="95">
        <f>510-40</f>
        <v>470</v>
      </c>
      <c r="E348" s="95">
        <v>470</v>
      </c>
      <c r="F348" s="239">
        <f>296278.83+12500</f>
        <v>308778.83</v>
      </c>
      <c r="G348" s="265">
        <v>400</v>
      </c>
      <c r="H348" s="283"/>
      <c r="I348" s="10"/>
      <c r="J348" s="9"/>
      <c r="M348" s="9"/>
    </row>
    <row r="349" spans="1:13" s="3" customFormat="1" ht="60" x14ac:dyDescent="0.2">
      <c r="A349" s="66">
        <v>6171</v>
      </c>
      <c r="B349" s="67">
        <v>5169</v>
      </c>
      <c r="C349" s="64" t="s">
        <v>156</v>
      </c>
      <c r="D349" s="95">
        <v>1200</v>
      </c>
      <c r="E349" s="95">
        <v>1200</v>
      </c>
      <c r="F349" s="239">
        <f>847828.04+3750</f>
        <v>851578.04</v>
      </c>
      <c r="G349" s="265">
        <v>1200</v>
      </c>
      <c r="H349" s="283"/>
      <c r="I349" s="10"/>
      <c r="J349" s="9"/>
      <c r="M349" s="9"/>
    </row>
    <row r="350" spans="1:13" s="3" customFormat="1" x14ac:dyDescent="0.2">
      <c r="A350" s="66">
        <v>6171</v>
      </c>
      <c r="B350" s="67">
        <v>5169</v>
      </c>
      <c r="C350" s="64" t="s">
        <v>64</v>
      </c>
      <c r="D350" s="95">
        <v>110</v>
      </c>
      <c r="E350" s="95">
        <v>110</v>
      </c>
      <c r="F350" s="239">
        <v>77925</v>
      </c>
      <c r="G350" s="265">
        <v>110</v>
      </c>
      <c r="H350" s="283"/>
      <c r="I350" s="10"/>
      <c r="J350" s="9"/>
      <c r="M350" s="9"/>
    </row>
    <row r="351" spans="1:13" s="3" customFormat="1" x14ac:dyDescent="0.2">
      <c r="A351" s="66">
        <v>6171</v>
      </c>
      <c r="B351" s="67">
        <v>5171</v>
      </c>
      <c r="C351" s="64" t="s">
        <v>228</v>
      </c>
      <c r="D351" s="95">
        <v>350</v>
      </c>
      <c r="E351" s="95">
        <v>350</v>
      </c>
      <c r="F351" s="239">
        <f>144641.35-107100+726+1004.3+2105.4+9614</f>
        <v>50991.05000000001</v>
      </c>
      <c r="G351" s="265">
        <v>350</v>
      </c>
      <c r="H351" s="283"/>
      <c r="I351" s="10"/>
      <c r="J351" s="9"/>
      <c r="M351" s="9"/>
    </row>
    <row r="352" spans="1:13" s="3" customFormat="1" ht="30" x14ac:dyDescent="0.2">
      <c r="A352" s="66">
        <v>6171</v>
      </c>
      <c r="B352" s="67">
        <v>5171</v>
      </c>
      <c r="C352" s="64" t="s">
        <v>229</v>
      </c>
      <c r="D352" s="95">
        <v>150</v>
      </c>
      <c r="E352" s="95">
        <v>150</v>
      </c>
      <c r="F352" s="239">
        <v>107100</v>
      </c>
      <c r="G352" s="265">
        <v>0</v>
      </c>
      <c r="H352" s="283"/>
      <c r="I352" s="10"/>
      <c r="J352" s="9"/>
      <c r="M352" s="9"/>
    </row>
    <row r="353" spans="1:13" s="3" customFormat="1" ht="21.75" customHeight="1" x14ac:dyDescent="0.2">
      <c r="A353" s="66">
        <v>6171</v>
      </c>
      <c r="B353" s="67">
        <v>5172</v>
      </c>
      <c r="C353" s="64" t="s">
        <v>230</v>
      </c>
      <c r="D353" s="95">
        <v>50</v>
      </c>
      <c r="E353" s="95">
        <v>50</v>
      </c>
      <c r="F353" s="239">
        <f>6989+6302</f>
        <v>13291</v>
      </c>
      <c r="G353" s="265">
        <v>14</v>
      </c>
      <c r="H353" s="283"/>
      <c r="I353" s="10"/>
      <c r="J353" s="9"/>
      <c r="M353" s="9"/>
    </row>
    <row r="354" spans="1:13" s="3" customFormat="1" x14ac:dyDescent="0.2">
      <c r="A354" s="66">
        <v>6171</v>
      </c>
      <c r="B354" s="67">
        <v>5173</v>
      </c>
      <c r="C354" s="64" t="s">
        <v>22</v>
      </c>
      <c r="D354" s="95">
        <v>5</v>
      </c>
      <c r="E354" s="95">
        <v>5</v>
      </c>
      <c r="F354" s="239">
        <v>186</v>
      </c>
      <c r="G354" s="265">
        <v>4</v>
      </c>
      <c r="H354" s="283"/>
      <c r="I354" s="10"/>
      <c r="J354" s="9"/>
      <c r="M354" s="9"/>
    </row>
    <row r="355" spans="1:13" s="3" customFormat="1" x14ac:dyDescent="0.2">
      <c r="A355" s="66">
        <v>6171</v>
      </c>
      <c r="B355" s="67">
        <v>5175</v>
      </c>
      <c r="C355" s="64" t="s">
        <v>13</v>
      </c>
      <c r="D355" s="95">
        <v>5.5</v>
      </c>
      <c r="E355" s="95">
        <v>5.5</v>
      </c>
      <c r="F355" s="239">
        <v>3175</v>
      </c>
      <c r="G355" s="265">
        <v>5</v>
      </c>
      <c r="H355" s="283"/>
      <c r="I355" s="10"/>
      <c r="J355" s="9"/>
      <c r="M355" s="9"/>
    </row>
    <row r="356" spans="1:13" s="3" customFormat="1" x14ac:dyDescent="0.2">
      <c r="A356" s="66">
        <v>6171</v>
      </c>
      <c r="B356" s="67">
        <v>5179</v>
      </c>
      <c r="C356" s="64" t="s">
        <v>293</v>
      </c>
      <c r="D356" s="95">
        <v>1.5</v>
      </c>
      <c r="E356" s="95">
        <v>1.5</v>
      </c>
      <c r="F356" s="239">
        <v>0</v>
      </c>
      <c r="G356" s="265">
        <v>0</v>
      </c>
      <c r="H356" s="283"/>
      <c r="I356" s="10"/>
      <c r="J356" s="9"/>
      <c r="M356" s="9"/>
    </row>
    <row r="357" spans="1:13" x14ac:dyDescent="0.2">
      <c r="A357" s="66">
        <v>6171</v>
      </c>
      <c r="B357" s="67">
        <v>5182</v>
      </c>
      <c r="C357" s="64" t="s">
        <v>124</v>
      </c>
      <c r="D357" s="95">
        <v>0</v>
      </c>
      <c r="E357" s="95">
        <v>0</v>
      </c>
      <c r="F357" s="239">
        <v>18033</v>
      </c>
      <c r="G357" s="265">
        <v>0</v>
      </c>
      <c r="H357" s="283"/>
    </row>
    <row r="358" spans="1:13" ht="45" x14ac:dyDescent="0.2">
      <c r="A358" s="66">
        <v>6171</v>
      </c>
      <c r="B358" s="67">
        <v>5192</v>
      </c>
      <c r="C358" s="64" t="s">
        <v>378</v>
      </c>
      <c r="D358" s="95">
        <v>30</v>
      </c>
      <c r="E358" s="95">
        <v>30</v>
      </c>
      <c r="F358" s="239">
        <v>33583</v>
      </c>
      <c r="G358" s="265">
        <v>35</v>
      </c>
      <c r="H358" s="283"/>
    </row>
    <row r="359" spans="1:13" ht="30" x14ac:dyDescent="0.2">
      <c r="A359" s="66">
        <v>6171</v>
      </c>
      <c r="B359" s="67">
        <v>5362</v>
      </c>
      <c r="C359" s="64" t="s">
        <v>336</v>
      </c>
      <c r="D359" s="95">
        <v>16</v>
      </c>
      <c r="E359" s="95">
        <v>16</v>
      </c>
      <c r="F359" s="239">
        <v>5000</v>
      </c>
      <c r="G359" s="265">
        <v>10</v>
      </c>
      <c r="H359" s="283"/>
    </row>
    <row r="360" spans="1:13" ht="30" x14ac:dyDescent="0.2">
      <c r="A360" s="66">
        <v>6171</v>
      </c>
      <c r="B360" s="67">
        <v>5365</v>
      </c>
      <c r="C360" s="64" t="s">
        <v>380</v>
      </c>
      <c r="D360" s="95">
        <v>5</v>
      </c>
      <c r="E360" s="95">
        <v>5</v>
      </c>
      <c r="F360" s="239">
        <f>6400+510</f>
        <v>6910</v>
      </c>
      <c r="G360" s="265">
        <v>8</v>
      </c>
      <c r="H360" s="283"/>
    </row>
    <row r="361" spans="1:13" ht="30" x14ac:dyDescent="0.2">
      <c r="A361" s="66">
        <v>6171</v>
      </c>
      <c r="B361" s="67">
        <v>5365</v>
      </c>
      <c r="C361" s="64" t="s">
        <v>231</v>
      </c>
      <c r="D361" s="95">
        <v>0</v>
      </c>
      <c r="E361" s="95">
        <v>36.799999999999997</v>
      </c>
      <c r="F361" s="239">
        <v>36789.040000000001</v>
      </c>
      <c r="G361" s="265">
        <v>0</v>
      </c>
      <c r="H361" s="283"/>
    </row>
    <row r="362" spans="1:13" s="3" customFormat="1" x14ac:dyDescent="0.2">
      <c r="A362" s="66">
        <v>6171</v>
      </c>
      <c r="B362" s="67">
        <v>5424</v>
      </c>
      <c r="C362" s="64" t="s">
        <v>232</v>
      </c>
      <c r="D362" s="95">
        <v>100</v>
      </c>
      <c r="E362" s="95">
        <v>100</v>
      </c>
      <c r="F362" s="239">
        <v>46364</v>
      </c>
      <c r="G362" s="265">
        <v>55</v>
      </c>
      <c r="H362" s="283"/>
      <c r="I362" s="10"/>
      <c r="J362" s="9"/>
      <c r="M362" s="9"/>
    </row>
    <row r="363" spans="1:13" s="3" customFormat="1" x14ac:dyDescent="0.2">
      <c r="A363" s="66">
        <v>6171</v>
      </c>
      <c r="B363" s="67">
        <v>5492</v>
      </c>
      <c r="C363" s="64" t="s">
        <v>289</v>
      </c>
      <c r="D363" s="95">
        <v>20</v>
      </c>
      <c r="E363" s="95">
        <v>20</v>
      </c>
      <c r="F363" s="239">
        <v>0</v>
      </c>
      <c r="G363" s="265">
        <v>20</v>
      </c>
      <c r="H363" s="283"/>
      <c r="I363" s="10"/>
      <c r="J363" s="9"/>
      <c r="M363" s="9"/>
    </row>
    <row r="364" spans="1:13" s="3" customFormat="1" x14ac:dyDescent="0.2">
      <c r="A364" s="66">
        <v>6171</v>
      </c>
      <c r="B364" s="67">
        <v>5499</v>
      </c>
      <c r="C364" s="64" t="s">
        <v>233</v>
      </c>
      <c r="D364" s="95">
        <f>381-110-34</f>
        <v>237</v>
      </c>
      <c r="E364" s="95">
        <v>237</v>
      </c>
      <c r="F364" s="239">
        <v>175600</v>
      </c>
      <c r="G364" s="265">
        <v>243</v>
      </c>
      <c r="H364" s="283"/>
      <c r="I364" s="10"/>
      <c r="J364" s="9"/>
      <c r="M364" s="9"/>
    </row>
    <row r="365" spans="1:13" s="3" customFormat="1" ht="30" x14ac:dyDescent="0.2">
      <c r="A365" s="66">
        <v>6171</v>
      </c>
      <c r="B365" s="67">
        <v>6121</v>
      </c>
      <c r="C365" s="146" t="s">
        <v>386</v>
      </c>
      <c r="D365" s="204"/>
      <c r="E365" s="204"/>
      <c r="F365" s="273"/>
      <c r="G365" s="305">
        <v>200</v>
      </c>
      <c r="H365" s="284"/>
      <c r="I365" s="10"/>
      <c r="J365" s="9"/>
      <c r="M365" s="9"/>
    </row>
    <row r="366" spans="1:13" ht="15.75" x14ac:dyDescent="0.25">
      <c r="A366" s="32">
        <v>6171</v>
      </c>
      <c r="B366" s="33"/>
      <c r="C366" s="81" t="s">
        <v>24</v>
      </c>
      <c r="D366" s="89">
        <f>SUM(D330:D365)</f>
        <v>14562</v>
      </c>
      <c r="E366" s="89">
        <f>SUM(E330:E365)</f>
        <v>14628.8</v>
      </c>
      <c r="F366" s="249">
        <f>SUM(F330:F365)</f>
        <v>10257063.120000001</v>
      </c>
      <c r="G366" s="307">
        <f>SUM(G330:G365)</f>
        <v>15293</v>
      </c>
      <c r="H366" s="286">
        <f>G366</f>
        <v>15293</v>
      </c>
    </row>
    <row r="367" spans="1:13" ht="15.75" x14ac:dyDescent="0.25">
      <c r="A367" s="32"/>
      <c r="B367" s="33"/>
      <c r="C367" s="81"/>
      <c r="D367" s="95"/>
      <c r="E367" s="95"/>
      <c r="F367" s="251"/>
      <c r="G367" s="265"/>
      <c r="H367" s="283"/>
    </row>
    <row r="368" spans="1:13" s="9" customFormat="1" x14ac:dyDescent="0.2">
      <c r="A368" s="12">
        <v>6221</v>
      </c>
      <c r="B368" s="14">
        <v>5021</v>
      </c>
      <c r="C368" s="87" t="s">
        <v>290</v>
      </c>
      <c r="D368" s="95">
        <v>0</v>
      </c>
      <c r="E368" s="95">
        <v>3</v>
      </c>
      <c r="F368" s="239">
        <v>2600</v>
      </c>
      <c r="G368" s="265">
        <v>0</v>
      </c>
      <c r="H368" s="283"/>
      <c r="I368" s="10"/>
    </row>
    <row r="369" spans="1:13" s="9" customFormat="1" x14ac:dyDescent="0.2">
      <c r="A369" s="12">
        <v>6221</v>
      </c>
      <c r="B369" s="14">
        <v>5131</v>
      </c>
      <c r="C369" s="87" t="s">
        <v>245</v>
      </c>
      <c r="D369" s="95">
        <v>0</v>
      </c>
      <c r="E369" s="95">
        <v>8</v>
      </c>
      <c r="F369" s="239">
        <v>5002</v>
      </c>
      <c r="G369" s="265">
        <v>0</v>
      </c>
      <c r="H369" s="283"/>
      <c r="I369" s="10"/>
    </row>
    <row r="370" spans="1:13" s="9" customFormat="1" x14ac:dyDescent="0.2">
      <c r="A370" s="12">
        <v>6221</v>
      </c>
      <c r="B370" s="14">
        <v>5133</v>
      </c>
      <c r="C370" s="87" t="s">
        <v>246</v>
      </c>
      <c r="D370" s="95">
        <v>0</v>
      </c>
      <c r="E370" s="95">
        <v>6</v>
      </c>
      <c r="F370" s="239">
        <v>1230</v>
      </c>
      <c r="G370" s="265">
        <v>0</v>
      </c>
      <c r="H370" s="283"/>
      <c r="I370" s="10"/>
    </row>
    <row r="371" spans="1:13" s="9" customFormat="1" x14ac:dyDescent="0.2">
      <c r="A371" s="12">
        <v>6221</v>
      </c>
      <c r="B371" s="14">
        <v>5137</v>
      </c>
      <c r="C371" s="87" t="s">
        <v>37</v>
      </c>
      <c r="D371" s="95">
        <v>0</v>
      </c>
      <c r="E371" s="95">
        <v>85</v>
      </c>
      <c r="F371" s="239">
        <v>50838</v>
      </c>
      <c r="G371" s="265">
        <v>0</v>
      </c>
      <c r="H371" s="283"/>
      <c r="I371" s="10"/>
    </row>
    <row r="372" spans="1:13" s="9" customFormat="1" x14ac:dyDescent="0.2">
      <c r="A372" s="12">
        <v>6221</v>
      </c>
      <c r="B372" s="14">
        <v>5139</v>
      </c>
      <c r="C372" s="87" t="s">
        <v>247</v>
      </c>
      <c r="D372" s="95">
        <v>0</v>
      </c>
      <c r="E372" s="95">
        <v>40</v>
      </c>
      <c r="F372" s="239">
        <v>13294</v>
      </c>
      <c r="G372" s="265">
        <v>0</v>
      </c>
      <c r="H372" s="283"/>
      <c r="I372" s="10"/>
    </row>
    <row r="373" spans="1:13" s="9" customFormat="1" x14ac:dyDescent="0.2">
      <c r="A373" s="12">
        <v>6221</v>
      </c>
      <c r="B373" s="14">
        <v>5156</v>
      </c>
      <c r="C373" s="87" t="s">
        <v>248</v>
      </c>
      <c r="D373" s="95">
        <v>0</v>
      </c>
      <c r="E373" s="95">
        <f>12+15.4</f>
        <v>27.4</v>
      </c>
      <c r="F373" s="239">
        <v>27421</v>
      </c>
      <c r="G373" s="265">
        <v>0</v>
      </c>
      <c r="H373" s="283"/>
      <c r="I373" s="10"/>
    </row>
    <row r="374" spans="1:13" s="9" customFormat="1" x14ac:dyDescent="0.2">
      <c r="A374" s="12">
        <v>6221</v>
      </c>
      <c r="B374" s="14">
        <v>5162</v>
      </c>
      <c r="C374" s="87" t="s">
        <v>291</v>
      </c>
      <c r="D374" s="95">
        <v>0</v>
      </c>
      <c r="E374" s="95">
        <v>1</v>
      </c>
      <c r="F374" s="239">
        <v>813</v>
      </c>
      <c r="G374" s="265">
        <v>0</v>
      </c>
      <c r="H374" s="283"/>
      <c r="I374" s="10"/>
    </row>
    <row r="375" spans="1:13" s="9" customFormat="1" x14ac:dyDescent="0.2">
      <c r="A375" s="12">
        <v>6221</v>
      </c>
      <c r="B375" s="14">
        <v>5164</v>
      </c>
      <c r="C375" s="87" t="s">
        <v>268</v>
      </c>
      <c r="D375" s="95">
        <v>0</v>
      </c>
      <c r="E375" s="95">
        <f>10+9.2</f>
        <v>19.2</v>
      </c>
      <c r="F375" s="239">
        <v>0</v>
      </c>
      <c r="G375" s="265">
        <v>0</v>
      </c>
      <c r="H375" s="283"/>
      <c r="I375" s="10"/>
    </row>
    <row r="376" spans="1:13" s="9" customFormat="1" x14ac:dyDescent="0.2">
      <c r="A376" s="12">
        <v>6221</v>
      </c>
      <c r="B376" s="14">
        <v>5169</v>
      </c>
      <c r="C376" s="87" t="s">
        <v>38</v>
      </c>
      <c r="D376" s="95">
        <v>0</v>
      </c>
      <c r="E376" s="95">
        <v>25</v>
      </c>
      <c r="F376" s="239">
        <v>0</v>
      </c>
      <c r="G376" s="265">
        <v>0</v>
      </c>
      <c r="H376" s="283"/>
      <c r="I376" s="10"/>
    </row>
    <row r="377" spans="1:13" s="9" customFormat="1" ht="30" x14ac:dyDescent="0.2">
      <c r="A377" s="12">
        <v>6221</v>
      </c>
      <c r="B377" s="14">
        <v>5331</v>
      </c>
      <c r="C377" s="87" t="s">
        <v>292</v>
      </c>
      <c r="D377" s="95">
        <v>0</v>
      </c>
      <c r="E377" s="95">
        <v>21</v>
      </c>
      <c r="F377" s="239">
        <f>2136+18617</f>
        <v>20753</v>
      </c>
      <c r="G377" s="265">
        <v>0</v>
      </c>
      <c r="H377" s="283"/>
      <c r="I377" s="10"/>
    </row>
    <row r="378" spans="1:13" s="9" customFormat="1" x14ac:dyDescent="0.2">
      <c r="A378" s="12">
        <v>6221</v>
      </c>
      <c r="B378" s="14">
        <v>5492</v>
      </c>
      <c r="C378" s="87" t="s">
        <v>289</v>
      </c>
      <c r="D378" s="95">
        <v>0</v>
      </c>
      <c r="E378" s="95">
        <v>25</v>
      </c>
      <c r="F378" s="239">
        <v>25000</v>
      </c>
      <c r="G378" s="265">
        <v>0</v>
      </c>
      <c r="H378" s="283"/>
      <c r="I378" s="10"/>
    </row>
    <row r="379" spans="1:13" s="9" customFormat="1" x14ac:dyDescent="0.2">
      <c r="A379" s="12">
        <v>6221</v>
      </c>
      <c r="B379" s="14">
        <v>5901</v>
      </c>
      <c r="C379" s="87" t="s">
        <v>39</v>
      </c>
      <c r="D379" s="95">
        <v>0</v>
      </c>
      <c r="E379" s="95">
        <f>370-50-120</f>
        <v>200</v>
      </c>
      <c r="F379" s="239">
        <v>0</v>
      </c>
      <c r="G379" s="265">
        <v>303</v>
      </c>
      <c r="H379" s="283"/>
      <c r="I379" s="10"/>
    </row>
    <row r="380" spans="1:13" s="9" customFormat="1" ht="15.75" x14ac:dyDescent="0.25">
      <c r="A380" s="35">
        <v>6221</v>
      </c>
      <c r="B380" s="36"/>
      <c r="C380" s="219" t="s">
        <v>249</v>
      </c>
      <c r="D380" s="96">
        <f>SUM(D368:D379)</f>
        <v>0</v>
      </c>
      <c r="E380" s="96">
        <f t="shared" ref="E380:G380" si="7">SUM(E368:E379)</f>
        <v>460.6</v>
      </c>
      <c r="F380" s="251">
        <f t="shared" si="7"/>
        <v>146951</v>
      </c>
      <c r="G380" s="306">
        <f t="shared" si="7"/>
        <v>303</v>
      </c>
      <c r="H380" s="286">
        <f>G380</f>
        <v>303</v>
      </c>
      <c r="I380" s="10"/>
    </row>
    <row r="381" spans="1:13" s="9" customFormat="1" x14ac:dyDescent="0.2">
      <c r="A381" s="12"/>
      <c r="B381" s="14"/>
      <c r="C381" s="87"/>
      <c r="D381" s="95"/>
      <c r="E381" s="95"/>
      <c r="F381" s="239"/>
      <c r="G381" s="265"/>
      <c r="H381" s="283"/>
      <c r="I381" s="10"/>
    </row>
    <row r="382" spans="1:13" s="7" customFormat="1" x14ac:dyDescent="0.2">
      <c r="A382" s="12">
        <v>6310</v>
      </c>
      <c r="B382" s="14">
        <v>5163</v>
      </c>
      <c r="C382" s="87" t="s">
        <v>135</v>
      </c>
      <c r="D382" s="95">
        <v>16</v>
      </c>
      <c r="E382" s="95">
        <v>16</v>
      </c>
      <c r="F382" s="239">
        <v>11372.34</v>
      </c>
      <c r="G382" s="265">
        <v>16</v>
      </c>
      <c r="H382" s="283"/>
      <c r="I382" s="10"/>
      <c r="J382" s="9"/>
      <c r="M382" s="9"/>
    </row>
    <row r="383" spans="1:13" s="2" customFormat="1" ht="15.75" x14ac:dyDescent="0.25">
      <c r="A383" s="32">
        <v>6310</v>
      </c>
      <c r="B383" s="33"/>
      <c r="C383" s="81" t="s">
        <v>50</v>
      </c>
      <c r="D383" s="96">
        <f t="shared" ref="D383:E383" si="8">SUM(D382)</f>
        <v>16</v>
      </c>
      <c r="E383" s="96">
        <f t="shared" si="8"/>
        <v>16</v>
      </c>
      <c r="F383" s="251">
        <f>SUM(F382)</f>
        <v>11372.34</v>
      </c>
      <c r="G383" s="306">
        <f>SUM(G382)</f>
        <v>16</v>
      </c>
      <c r="H383" s="286">
        <f>G383</f>
        <v>16</v>
      </c>
      <c r="I383" s="10"/>
      <c r="J383" s="10"/>
      <c r="M383" s="10"/>
    </row>
    <row r="384" spans="1:13" s="2" customFormat="1" ht="15.75" x14ac:dyDescent="0.25">
      <c r="A384" s="32"/>
      <c r="B384" s="33"/>
      <c r="C384" s="81"/>
      <c r="D384" s="95"/>
      <c r="E384" s="95"/>
      <c r="F384" s="251"/>
      <c r="G384" s="265"/>
      <c r="H384" s="283"/>
      <c r="I384" s="10"/>
      <c r="J384" s="10"/>
      <c r="M384" s="10"/>
    </row>
    <row r="385" spans="1:13" s="2" customFormat="1" x14ac:dyDescent="0.2">
      <c r="A385" s="12">
        <v>6320</v>
      </c>
      <c r="B385" s="14">
        <v>5163</v>
      </c>
      <c r="C385" s="77" t="s">
        <v>129</v>
      </c>
      <c r="D385" s="95">
        <v>340</v>
      </c>
      <c r="E385" s="95">
        <f>340+50</f>
        <v>390</v>
      </c>
      <c r="F385" s="239">
        <v>379669</v>
      </c>
      <c r="G385" s="265">
        <v>390</v>
      </c>
      <c r="H385" s="283"/>
      <c r="I385" s="10"/>
      <c r="J385" s="10"/>
      <c r="M385" s="10"/>
    </row>
    <row r="386" spans="1:13" s="2" customFormat="1" ht="15.75" x14ac:dyDescent="0.25">
      <c r="A386" s="32">
        <v>6320</v>
      </c>
      <c r="B386" s="33"/>
      <c r="C386" s="76" t="s">
        <v>294</v>
      </c>
      <c r="D386" s="96">
        <f t="shared" ref="D386:E386" si="9">SUM(D385)</f>
        <v>340</v>
      </c>
      <c r="E386" s="96">
        <f t="shared" si="9"/>
        <v>390</v>
      </c>
      <c r="F386" s="251">
        <f>SUM(F385)</f>
        <v>379669</v>
      </c>
      <c r="G386" s="306">
        <f>SUM(G385)</f>
        <v>390</v>
      </c>
      <c r="H386" s="286">
        <f>G386</f>
        <v>390</v>
      </c>
      <c r="I386" s="10"/>
      <c r="J386" s="10"/>
      <c r="M386" s="10"/>
    </row>
    <row r="387" spans="1:13" s="2" customFormat="1" ht="15.75" x14ac:dyDescent="0.25">
      <c r="A387" s="34"/>
      <c r="B387" s="33"/>
      <c r="C387" s="81"/>
      <c r="D387" s="95"/>
      <c r="E387" s="95"/>
      <c r="F387" s="239"/>
      <c r="G387" s="265"/>
      <c r="H387" s="283"/>
      <c r="I387" s="10"/>
      <c r="J387" s="10"/>
      <c r="M387" s="10"/>
    </row>
    <row r="388" spans="1:13" s="6" customFormat="1" x14ac:dyDescent="0.2">
      <c r="A388" s="34">
        <v>6409</v>
      </c>
      <c r="B388" s="37">
        <v>5901</v>
      </c>
      <c r="C388" s="80" t="s">
        <v>39</v>
      </c>
      <c r="D388" s="95">
        <v>1500</v>
      </c>
      <c r="E388" s="95">
        <f>1500-84.9-200+2+10000-4000+2131+1122+2149.5-11-125-5000-13-1613-50-15</f>
        <v>5792.6</v>
      </c>
      <c r="F388" s="239">
        <v>0</v>
      </c>
      <c r="G388" s="265">
        <v>3000</v>
      </c>
      <c r="H388" s="283"/>
      <c r="I388" s="10"/>
      <c r="J388" s="10"/>
      <c r="M388" s="10"/>
    </row>
    <row r="389" spans="1:13" s="6" customFormat="1" ht="45" x14ac:dyDescent="0.2">
      <c r="A389" s="34">
        <v>6409</v>
      </c>
      <c r="B389" s="37">
        <v>5904</v>
      </c>
      <c r="C389" s="80" t="s">
        <v>204</v>
      </c>
      <c r="D389" s="95">
        <v>0</v>
      </c>
      <c r="E389" s="95">
        <v>84.9</v>
      </c>
      <c r="F389" s="239">
        <v>84868.7</v>
      </c>
      <c r="G389" s="265">
        <v>0</v>
      </c>
      <c r="H389" s="283"/>
      <c r="I389" s="10"/>
      <c r="J389" s="10"/>
      <c r="M389" s="10"/>
    </row>
    <row r="390" spans="1:13" s="6" customFormat="1" ht="15.75" x14ac:dyDescent="0.25">
      <c r="A390" s="32">
        <v>6409</v>
      </c>
      <c r="B390" s="33"/>
      <c r="C390" s="76" t="s">
        <v>40</v>
      </c>
      <c r="D390" s="89">
        <f>SUM(D388:D389)</f>
        <v>1500</v>
      </c>
      <c r="E390" s="89">
        <f t="shared" ref="E390:G390" si="10">SUM(E388:E389)</f>
        <v>5877.5</v>
      </c>
      <c r="F390" s="251">
        <f t="shared" si="10"/>
        <v>84868.7</v>
      </c>
      <c r="G390" s="307">
        <f t="shared" si="10"/>
        <v>3000</v>
      </c>
      <c r="H390" s="286">
        <f>G390</f>
        <v>3000</v>
      </c>
      <c r="I390" s="10"/>
      <c r="J390" s="10"/>
      <c r="M390" s="10"/>
    </row>
    <row r="391" spans="1:13" s="6" customFormat="1" ht="15.75" x14ac:dyDescent="0.25">
      <c r="A391" s="34"/>
      <c r="B391" s="33"/>
      <c r="C391" s="81"/>
      <c r="D391" s="95"/>
      <c r="E391" s="95"/>
      <c r="F391" s="239"/>
      <c r="G391" s="265"/>
      <c r="H391" s="283"/>
      <c r="I391" s="10"/>
      <c r="J391" s="10"/>
      <c r="M391" s="10"/>
    </row>
    <row r="392" spans="1:13" s="6" customFormat="1" x14ac:dyDescent="0.2">
      <c r="A392" s="12">
        <v>6330</v>
      </c>
      <c r="B392" s="63">
        <v>5342</v>
      </c>
      <c r="C392" s="86" t="s">
        <v>43</v>
      </c>
      <c r="D392" s="95">
        <f>'Rozpočet 2023 příjmy pozmen n  '!D35</f>
        <v>324</v>
      </c>
      <c r="E392" s="95">
        <f>'Rozpočet 2023 příjmy pozmen n  '!E35</f>
        <v>324</v>
      </c>
      <c r="F392" s="282">
        <f>'Rozpočet 2023 příjmy pozmen n  '!F35</f>
        <v>236239</v>
      </c>
      <c r="G392" s="265">
        <f>'Rozpočet 2023 příjmy pozmen n  '!G35</f>
        <v>375</v>
      </c>
      <c r="H392" s="283"/>
      <c r="I392" s="10"/>
      <c r="J392" s="10"/>
      <c r="M392" s="10"/>
    </row>
    <row r="393" spans="1:13" s="6" customFormat="1" x14ac:dyDescent="0.2">
      <c r="A393" s="66">
        <v>6330</v>
      </c>
      <c r="B393" s="67">
        <v>5345</v>
      </c>
      <c r="C393" s="64" t="s">
        <v>87</v>
      </c>
      <c r="D393" s="95">
        <f>'Rozpočet 2023 příjmy pozmen n  '!D37</f>
        <v>381</v>
      </c>
      <c r="E393" s="95">
        <f>'Rozpočet 2023 příjmy pozmen n  '!E37</f>
        <v>381</v>
      </c>
      <c r="F393" s="282">
        <f>'Rozpočet 2023 příjmy pozmen n  '!F37</f>
        <v>255325</v>
      </c>
      <c r="G393" s="95">
        <f>'Rozpočet 2023 příjmy pozmen n  '!G37</f>
        <v>387</v>
      </c>
      <c r="H393" s="283"/>
      <c r="I393" s="10"/>
      <c r="J393" s="10"/>
      <c r="M393" s="10"/>
    </row>
    <row r="394" spans="1:13" s="6" customFormat="1" x14ac:dyDescent="0.2">
      <c r="A394" s="66"/>
      <c r="B394" s="67"/>
      <c r="C394" s="64" t="s">
        <v>274</v>
      </c>
      <c r="D394" s="95">
        <f>'Rozpočet 2023 příjmy pozmen n  '!D33</f>
        <v>2472</v>
      </c>
      <c r="E394" s="95">
        <f>'Rozpočet 2023 příjmy pozmen n  '!E33</f>
        <v>2472</v>
      </c>
      <c r="F394" s="282">
        <f>'Rozpočet 2023 příjmy pozmen n  '!F33</f>
        <v>769349.12</v>
      </c>
      <c r="G394" s="265">
        <f>'Rozpočet 2023 příjmy pozmen n  '!G33</f>
        <v>9000</v>
      </c>
      <c r="H394" s="283"/>
      <c r="I394" s="10"/>
      <c r="J394" s="10"/>
      <c r="M394" s="10"/>
    </row>
    <row r="395" spans="1:13" s="6" customFormat="1" ht="30" x14ac:dyDescent="0.2">
      <c r="A395" s="66">
        <v>6330</v>
      </c>
      <c r="B395" s="67">
        <v>5349</v>
      </c>
      <c r="C395" s="164" t="s">
        <v>62</v>
      </c>
      <c r="D395" s="95">
        <v>0</v>
      </c>
      <c r="E395" s="95">
        <v>1300</v>
      </c>
      <c r="F395" s="239">
        <v>1300000</v>
      </c>
      <c r="G395" s="265"/>
      <c r="H395" s="283"/>
      <c r="I395" s="10"/>
      <c r="J395" s="10"/>
      <c r="M395" s="10"/>
    </row>
    <row r="396" spans="1:13" s="6" customFormat="1" ht="45" x14ac:dyDescent="0.2">
      <c r="A396" s="66">
        <v>6330</v>
      </c>
      <c r="B396" s="67">
        <v>5347</v>
      </c>
      <c r="C396" s="184" t="s">
        <v>222</v>
      </c>
      <c r="D396" s="95">
        <v>0</v>
      </c>
      <c r="E396" s="95">
        <v>7.9</v>
      </c>
      <c r="F396" s="239">
        <v>7885.77</v>
      </c>
      <c r="G396" s="265">
        <v>0</v>
      </c>
      <c r="H396" s="283"/>
      <c r="I396" s="10"/>
      <c r="J396" s="10"/>
      <c r="M396" s="10"/>
    </row>
    <row r="397" spans="1:13" s="6" customFormat="1" ht="45" x14ac:dyDescent="0.2">
      <c r="A397" s="66">
        <v>6330</v>
      </c>
      <c r="B397" s="67">
        <v>5347</v>
      </c>
      <c r="C397" s="184" t="s">
        <v>223</v>
      </c>
      <c r="D397" s="95">
        <v>0</v>
      </c>
      <c r="E397" s="95">
        <v>13.5</v>
      </c>
      <c r="F397" s="239">
        <v>13500</v>
      </c>
      <c r="G397" s="265">
        <v>0</v>
      </c>
      <c r="H397" s="283"/>
      <c r="I397" s="10"/>
      <c r="J397" s="10"/>
      <c r="M397" s="10"/>
    </row>
    <row r="398" spans="1:13" s="6" customFormat="1" ht="45" x14ac:dyDescent="0.2">
      <c r="A398" s="66">
        <v>6330</v>
      </c>
      <c r="B398" s="67">
        <v>5347</v>
      </c>
      <c r="C398" s="184" t="s">
        <v>275</v>
      </c>
      <c r="D398" s="95">
        <v>0</v>
      </c>
      <c r="E398" s="95">
        <v>6.3</v>
      </c>
      <c r="F398" s="239">
        <f>5970+322.5</f>
        <v>6292.5</v>
      </c>
      <c r="G398" s="265">
        <v>0</v>
      </c>
      <c r="H398" s="283"/>
      <c r="I398" s="10"/>
      <c r="J398" s="10"/>
      <c r="M398" s="10"/>
    </row>
    <row r="399" spans="1:13" s="6" customFormat="1" ht="45" x14ac:dyDescent="0.2">
      <c r="A399" s="66">
        <v>6330</v>
      </c>
      <c r="B399" s="67">
        <v>5347</v>
      </c>
      <c r="C399" s="184" t="s">
        <v>250</v>
      </c>
      <c r="D399" s="95">
        <v>0</v>
      </c>
      <c r="E399" s="95">
        <v>0.8</v>
      </c>
      <c r="F399" s="239">
        <f>372.5+372.5+1731+1731</f>
        <v>4207</v>
      </c>
      <c r="G399" s="265">
        <v>0</v>
      </c>
      <c r="H399" s="283"/>
      <c r="I399" s="10"/>
      <c r="J399" s="10"/>
      <c r="M399" s="10"/>
    </row>
    <row r="400" spans="1:13" s="6" customFormat="1" ht="45" x14ac:dyDescent="0.2">
      <c r="A400" s="66">
        <v>6330</v>
      </c>
      <c r="B400" s="67">
        <v>5347</v>
      </c>
      <c r="C400" s="184" t="s">
        <v>303</v>
      </c>
      <c r="D400" s="95">
        <v>0</v>
      </c>
      <c r="E400" s="95">
        <v>6.3</v>
      </c>
      <c r="F400" s="239">
        <v>6257</v>
      </c>
      <c r="G400" s="265">
        <v>0</v>
      </c>
      <c r="H400" s="283"/>
      <c r="I400" s="10"/>
      <c r="J400" s="10"/>
      <c r="M400" s="10"/>
    </row>
    <row r="401" spans="1:13" s="6" customFormat="1" ht="45" x14ac:dyDescent="0.2">
      <c r="A401" s="66">
        <v>6330</v>
      </c>
      <c r="B401" s="67">
        <v>6363</v>
      </c>
      <c r="C401" s="184" t="s">
        <v>323</v>
      </c>
      <c r="D401" s="95">
        <v>0</v>
      </c>
      <c r="E401" s="95">
        <v>0</v>
      </c>
      <c r="F401" s="239">
        <v>1770.9</v>
      </c>
      <c r="G401" s="265">
        <v>0</v>
      </c>
      <c r="H401" s="283"/>
      <c r="I401" s="10"/>
      <c r="J401" s="10"/>
      <c r="M401" s="10"/>
    </row>
    <row r="402" spans="1:13" s="6" customFormat="1" ht="15.75" x14ac:dyDescent="0.25">
      <c r="A402" s="32">
        <v>6330</v>
      </c>
      <c r="B402" s="33"/>
      <c r="C402" s="76" t="s">
        <v>27</v>
      </c>
      <c r="D402" s="96">
        <f>SUM(D392:D401)</f>
        <v>3177</v>
      </c>
      <c r="E402" s="96">
        <f>SUM(E392:E401)</f>
        <v>4511.8</v>
      </c>
      <c r="F402" s="251">
        <f>SUM(F392:F401)</f>
        <v>2600826.29</v>
      </c>
      <c r="G402" s="306">
        <f>SUM(G392:G401)</f>
        <v>9762</v>
      </c>
      <c r="H402" s="286">
        <f>G402</f>
        <v>9762</v>
      </c>
      <c r="I402" s="10"/>
      <c r="J402" s="10"/>
      <c r="M402" s="10"/>
    </row>
    <row r="403" spans="1:13" s="6" customFormat="1" ht="16.5" thickBot="1" x14ac:dyDescent="0.3">
      <c r="A403" s="38"/>
      <c r="B403" s="39"/>
      <c r="C403" s="88"/>
      <c r="D403" s="208"/>
      <c r="E403" s="208"/>
      <c r="F403" s="303"/>
      <c r="G403" s="308"/>
      <c r="H403" s="288"/>
      <c r="I403" s="10"/>
      <c r="J403" s="10"/>
      <c r="M403" s="10"/>
    </row>
    <row r="404" spans="1:13" s="6" customFormat="1" ht="32.25" thickBot="1" x14ac:dyDescent="0.3">
      <c r="A404" s="22"/>
      <c r="B404" s="40"/>
      <c r="C404" s="98" t="s">
        <v>90</v>
      </c>
      <c r="D404" s="119">
        <f>D40+D43+D48+D56+D69+D98+D116+D135+D138+D141+D145+D153+D162+D169+D172+D188+D191+D199+D203+D206+D219+D226+D229+D236+D255+D260+D267+D270+D297+D317+D328+D366+D380+D383+D386+D390+D402</f>
        <v>112045</v>
      </c>
      <c r="E404" s="119">
        <f>E40+E43+E48+E56+E69+E98+E116+E135+E138+E141+E145+E153+E162+E169+E172+E188+E191+E199+E203+E206+E219+E226+E229+E236+E255+E260+E267+E270+E297+E317+E328+E366+E380+E383+E386+E390+E402</f>
        <v>154384.5</v>
      </c>
      <c r="F404" s="29">
        <f>F40+F43+F48+F56+F69+F98+F116+F135+F138+F141+F145+F153+F162+F169+F172+F188+F191+F199+F203+F206+F219+F226+F229+F236+F255+F260+F267+F270+F297+F317+F328+F366+F380+F383+F386+F390+F402</f>
        <v>63903394.04999999</v>
      </c>
      <c r="G404" s="267">
        <f>G40+G43+G48+G56+G69+G98+G116+G135+G138+G141+G145+G153+G162+G169+G172+G188+G191+G199+G203+G206+G219+G226+G229+G236+G255+G260+G267+G270+G297+G317+G328+G366+G380+G383+G386+G390+G402</f>
        <v>131636</v>
      </c>
      <c r="H404" s="152">
        <f>SUM(H7:H402)</f>
        <v>131636</v>
      </c>
      <c r="I404" s="10"/>
      <c r="J404" s="10"/>
      <c r="M404" s="10"/>
    </row>
    <row r="405" spans="1:13" s="6" customFormat="1" ht="30.75" thickBot="1" x14ac:dyDescent="0.25">
      <c r="A405" s="103"/>
      <c r="B405" s="97"/>
      <c r="C405" s="200" t="s">
        <v>88</v>
      </c>
      <c r="D405" s="209">
        <f>-D402</f>
        <v>-3177</v>
      </c>
      <c r="E405" s="209">
        <f>-E402</f>
        <v>-4511.8</v>
      </c>
      <c r="F405" s="296">
        <f>-F402</f>
        <v>-2600826.29</v>
      </c>
      <c r="G405" s="297">
        <f>-G402</f>
        <v>-9762</v>
      </c>
      <c r="H405" s="289">
        <f>-H402</f>
        <v>-9762</v>
      </c>
      <c r="I405" s="10"/>
      <c r="J405" s="10"/>
      <c r="M405" s="10"/>
    </row>
    <row r="406" spans="1:13" s="6" customFormat="1" ht="15.75" thickBot="1" x14ac:dyDescent="0.25">
      <c r="A406" s="56"/>
      <c r="B406" s="56"/>
      <c r="C406" s="207"/>
      <c r="D406" s="155"/>
      <c r="E406" s="155"/>
      <c r="F406" s="199"/>
      <c r="G406" s="155"/>
      <c r="H406" s="220"/>
      <c r="I406" s="10"/>
      <c r="J406" s="10"/>
      <c r="M406" s="10"/>
    </row>
    <row r="407" spans="1:13" s="6" customFormat="1" ht="32.25" thickBot="1" x14ac:dyDescent="0.3">
      <c r="A407" s="22"/>
      <c r="B407" s="40"/>
      <c r="C407" s="98" t="s">
        <v>89</v>
      </c>
      <c r="D407" s="119">
        <f>SUM(D404:D405)</f>
        <v>108868</v>
      </c>
      <c r="E407" s="119">
        <f>SUM(E404:E405)</f>
        <v>149872.70000000001</v>
      </c>
      <c r="F407" s="29">
        <f>SUM(F404:F405)</f>
        <v>61302567.75999999</v>
      </c>
      <c r="G407" s="267">
        <f t="shared" ref="G407:H407" si="11">SUM(G404:G405)</f>
        <v>121874</v>
      </c>
      <c r="H407" s="152">
        <f t="shared" si="11"/>
        <v>121874</v>
      </c>
      <c r="I407" s="10"/>
      <c r="J407" s="10"/>
      <c r="M407" s="10"/>
    </row>
    <row r="408" spans="1:13" s="6" customFormat="1" ht="16.5" thickBot="1" x14ac:dyDescent="0.3">
      <c r="A408" s="165"/>
      <c r="B408" s="52"/>
      <c r="C408" s="52"/>
      <c r="D408" s="130"/>
      <c r="E408" s="130"/>
      <c r="F408" s="26"/>
      <c r="G408" s="287"/>
      <c r="H408" s="220"/>
      <c r="I408" s="10"/>
      <c r="J408" s="10"/>
      <c r="M408" s="10"/>
    </row>
    <row r="409" spans="1:13" s="6" customFormat="1" ht="32.25" thickBot="1" x14ac:dyDescent="0.3">
      <c r="A409" s="22"/>
      <c r="B409" s="40"/>
      <c r="C409" s="41" t="s">
        <v>144</v>
      </c>
      <c r="D409" s="119">
        <f>SUM(D396:D399)</f>
        <v>0</v>
      </c>
      <c r="E409" s="119">
        <f>SUM(E396:E401)</f>
        <v>34.799999999999997</v>
      </c>
      <c r="F409" s="119">
        <f>SUM(F396:F401)</f>
        <v>39913.170000000006</v>
      </c>
      <c r="G409" s="267">
        <f t="shared" ref="G409:H409" si="12">SUM(G396:G401)</f>
        <v>0</v>
      </c>
      <c r="H409" s="152">
        <f t="shared" si="12"/>
        <v>0</v>
      </c>
      <c r="I409" s="10"/>
      <c r="J409" s="10"/>
      <c r="M409" s="10"/>
    </row>
    <row r="410" spans="1:13" s="6" customFormat="1" ht="16.5" thickBot="1" x14ac:dyDescent="0.3">
      <c r="A410" s="165"/>
      <c r="B410" s="52"/>
      <c r="C410" s="52"/>
      <c r="D410" s="121"/>
      <c r="E410" s="121"/>
      <c r="F410" s="26"/>
      <c r="G410" s="287"/>
      <c r="H410" s="220"/>
      <c r="I410" s="10"/>
      <c r="J410" s="10"/>
      <c r="M410" s="10"/>
    </row>
    <row r="411" spans="1:13" s="6" customFormat="1" ht="16.5" thickBot="1" x14ac:dyDescent="0.3">
      <c r="A411" s="42"/>
      <c r="B411" s="43"/>
      <c r="C411" s="100" t="s">
        <v>92</v>
      </c>
      <c r="D411" s="131">
        <f t="shared" ref="D411:H411" si="13">SUM(D407:D409)</f>
        <v>108868</v>
      </c>
      <c r="E411" s="132">
        <f t="shared" si="13"/>
        <v>149907.5</v>
      </c>
      <c r="F411" s="44">
        <f>SUM(F407:F409)</f>
        <v>61342480.929999992</v>
      </c>
      <c r="G411" s="295">
        <f t="shared" si="13"/>
        <v>121874</v>
      </c>
      <c r="H411" s="290">
        <f t="shared" si="13"/>
        <v>121874</v>
      </c>
      <c r="I411" s="10"/>
      <c r="J411" s="10"/>
      <c r="M411" s="10"/>
    </row>
    <row r="412" spans="1:13" s="6" customFormat="1" ht="15.75" x14ac:dyDescent="0.25">
      <c r="A412" s="53"/>
      <c r="B412" s="53"/>
      <c r="C412" s="54"/>
      <c r="D412" s="133"/>
      <c r="E412" s="133"/>
      <c r="F412" s="55"/>
      <c r="G412" s="291"/>
      <c r="H412" s="220"/>
      <c r="I412" s="10"/>
      <c r="J412" s="10"/>
      <c r="M412" s="10"/>
    </row>
    <row r="413" spans="1:13" ht="16.5" thickBot="1" x14ac:dyDescent="0.3">
      <c r="B413" s="46"/>
      <c r="C413" s="8" t="s">
        <v>103</v>
      </c>
      <c r="D413" s="134"/>
      <c r="E413" s="134"/>
      <c r="G413" s="151"/>
      <c r="I413" s="9"/>
    </row>
    <row r="414" spans="1:13" ht="32.25" thickBot="1" x14ac:dyDescent="0.3">
      <c r="B414" s="46"/>
      <c r="C414" s="47" t="s">
        <v>95</v>
      </c>
      <c r="D414" s="131">
        <f>'Rozpočet 2023 příjmy pozmen n  '!D87</f>
        <v>66403</v>
      </c>
      <c r="E414" s="131">
        <f>'Rozpočet 2023 příjmy pozmen n  '!E87</f>
        <v>104410.79999999999</v>
      </c>
      <c r="F414" s="131">
        <f>'Rozpočet 2023 příjmy pozmen n  '!F87</f>
        <v>102853209.70999999</v>
      </c>
      <c r="G414" s="295">
        <f>'Rozpočet 2023 příjmy pozmen n  '!G87</f>
        <v>89382</v>
      </c>
      <c r="H414" s="290">
        <f>'Rozpočet 2023 příjmy pozmen n  '!H87</f>
        <v>89382</v>
      </c>
      <c r="I414" s="9"/>
    </row>
    <row r="415" spans="1:13" ht="15.75" x14ac:dyDescent="0.25">
      <c r="B415" s="46"/>
      <c r="F415" s="48"/>
      <c r="G415" s="291"/>
    </row>
    <row r="416" spans="1:13" ht="15.75" x14ac:dyDescent="0.25">
      <c r="B416" s="46"/>
      <c r="C416" s="45" t="s">
        <v>91</v>
      </c>
      <c r="D416" s="130">
        <f>D418-D417</f>
        <v>44378</v>
      </c>
      <c r="E416" s="130">
        <f>E418-E417</f>
        <v>69482.3</v>
      </c>
      <c r="F416" s="15">
        <f>F418-F417</f>
        <v>44658687.709999993</v>
      </c>
      <c r="G416" s="130">
        <f>G418-G417</f>
        <v>49554</v>
      </c>
    </row>
    <row r="417" spans="1:10" ht="16.5" thickBot="1" x14ac:dyDescent="0.3">
      <c r="B417" s="46"/>
      <c r="C417" s="92" t="s">
        <v>35</v>
      </c>
      <c r="D417" s="153">
        <f>D33+D34+D35+D36+D38+D39+D55+D67+D89+D90+D95+D96+D97+D144+D161+D187+D202+D253+D295+D296</f>
        <v>64490</v>
      </c>
      <c r="E417" s="153">
        <f>E33+E34+E35+E36+E38+E39+E55+E67+E89+E90+E95+E96+E97+E144+E161+E187+E202+E253+E295+E296</f>
        <v>80425.2</v>
      </c>
      <c r="F417" s="227">
        <f>F33+F34+F35+F36+F38+F39+F55+F67+F89+F90+F95+F96+F97+F144+F161+F187+F202+F253+F295+F296</f>
        <v>16683793.219999999</v>
      </c>
      <c r="G417" s="153">
        <f>G33+G34+G35+G36+G38+G39+G55+G68+G95+G96+G144+G161+G202+G218+G254+G296+G365</f>
        <v>72320</v>
      </c>
    </row>
    <row r="418" spans="1:10" ht="32.25" thickBot="1" x14ac:dyDescent="0.3">
      <c r="B418" s="46"/>
      <c r="C418" s="47" t="s">
        <v>381</v>
      </c>
      <c r="D418" s="131">
        <f t="shared" ref="D418:H418" si="14">D411</f>
        <v>108868</v>
      </c>
      <c r="E418" s="132">
        <f t="shared" si="14"/>
        <v>149907.5</v>
      </c>
      <c r="F418" s="44">
        <f t="shared" si="14"/>
        <v>61342480.929999992</v>
      </c>
      <c r="G418" s="295">
        <f t="shared" si="14"/>
        <v>121874</v>
      </c>
      <c r="H418" s="132">
        <f t="shared" si="14"/>
        <v>121874</v>
      </c>
    </row>
    <row r="419" spans="1:10" ht="16.5" thickBot="1" x14ac:dyDescent="0.3">
      <c r="B419" s="46"/>
      <c r="C419" s="49"/>
      <c r="D419" s="135"/>
      <c r="E419" s="135"/>
      <c r="G419" s="292"/>
    </row>
    <row r="420" spans="1:10" s="9" customFormat="1" ht="16.5" thickBot="1" x14ac:dyDescent="0.3">
      <c r="A420" s="165"/>
      <c r="B420" s="113"/>
      <c r="C420" s="115" t="s">
        <v>107</v>
      </c>
      <c r="D420" s="136">
        <f t="shared" ref="D420:H420" si="15">D414-D418</f>
        <v>-42465</v>
      </c>
      <c r="E420" s="136">
        <f t="shared" si="15"/>
        <v>-45496.700000000012</v>
      </c>
      <c r="F420" s="210">
        <f>F414-F418</f>
        <v>41510728.780000001</v>
      </c>
      <c r="G420" s="267">
        <f t="shared" si="15"/>
        <v>-32492</v>
      </c>
      <c r="H420" s="152">
        <f t="shared" si="15"/>
        <v>-32492</v>
      </c>
      <c r="I420" s="10"/>
    </row>
    <row r="421" spans="1:10" s="9" customFormat="1" ht="16.5" thickBot="1" x14ac:dyDescent="0.3">
      <c r="A421" s="165"/>
      <c r="B421" s="114"/>
      <c r="C421" s="111"/>
      <c r="D421" s="137"/>
      <c r="E421" s="137"/>
      <c r="F421" s="112"/>
      <c r="G421" s="137"/>
      <c r="H421" s="220"/>
      <c r="I421" s="10"/>
    </row>
    <row r="422" spans="1:10" s="9" customFormat="1" ht="32.25" thickBot="1" x14ac:dyDescent="0.3">
      <c r="A422" s="165"/>
      <c r="B422" s="46"/>
      <c r="C422" s="110" t="s">
        <v>104</v>
      </c>
      <c r="D422" s="138">
        <f t="shared" ref="D422:H422" si="16">-(D420)</f>
        <v>42465</v>
      </c>
      <c r="E422" s="138">
        <f t="shared" si="16"/>
        <v>45496.700000000012</v>
      </c>
      <c r="F422" s="211">
        <f>-(F420)</f>
        <v>-41510728.780000001</v>
      </c>
      <c r="G422" s="295">
        <f t="shared" si="16"/>
        <v>32492</v>
      </c>
      <c r="H422" s="290">
        <f t="shared" si="16"/>
        <v>32492</v>
      </c>
    </row>
    <row r="423" spans="1:10" s="9" customFormat="1" x14ac:dyDescent="0.2">
      <c r="A423" s="165"/>
      <c r="B423" s="165"/>
      <c r="C423" s="50"/>
      <c r="D423" s="139"/>
      <c r="E423" s="139"/>
      <c r="F423" s="51"/>
      <c r="G423" s="293"/>
      <c r="H423" s="220"/>
      <c r="I423" s="10"/>
    </row>
    <row r="424" spans="1:10" s="10" customFormat="1" x14ac:dyDescent="0.2">
      <c r="A424" s="165"/>
      <c r="B424" s="165"/>
      <c r="C424" s="16"/>
      <c r="D424" s="122"/>
      <c r="E424" s="122"/>
      <c r="F424" s="15"/>
      <c r="G424" s="117"/>
      <c r="H424" s="220"/>
      <c r="J424" s="9"/>
    </row>
    <row r="425" spans="1:10" s="10" customFormat="1" x14ac:dyDescent="0.2">
      <c r="A425" s="165"/>
      <c r="B425" s="165"/>
      <c r="C425" s="16"/>
      <c r="D425" s="122"/>
      <c r="E425" s="122"/>
      <c r="F425" s="15"/>
      <c r="G425" s="117"/>
      <c r="H425" s="220"/>
      <c r="J425" s="9"/>
    </row>
    <row r="426" spans="1:10" s="10" customFormat="1" x14ac:dyDescent="0.2">
      <c r="A426" s="165"/>
      <c r="B426" s="165"/>
      <c r="C426" s="16"/>
      <c r="D426" s="122"/>
      <c r="E426" s="122"/>
      <c r="F426" s="15"/>
      <c r="G426" s="117"/>
      <c r="H426" s="220"/>
      <c r="J426" s="9"/>
    </row>
    <row r="427" spans="1:10" s="10" customFormat="1" x14ac:dyDescent="0.2">
      <c r="A427" s="165"/>
      <c r="B427" s="165"/>
      <c r="C427" s="16"/>
      <c r="D427" s="122"/>
      <c r="E427" s="122"/>
      <c r="F427" s="15"/>
      <c r="G427" s="117"/>
      <c r="H427" s="220"/>
      <c r="J427" s="9"/>
    </row>
    <row r="428" spans="1:10" s="10" customFormat="1" x14ac:dyDescent="0.2">
      <c r="A428" s="165"/>
      <c r="B428" s="165"/>
      <c r="C428" s="16"/>
      <c r="D428" s="122"/>
      <c r="E428" s="122"/>
      <c r="F428" s="15"/>
      <c r="G428" s="117"/>
      <c r="H428" s="220"/>
      <c r="J428" s="9"/>
    </row>
    <row r="429" spans="1:10" s="10" customFormat="1" x14ac:dyDescent="0.2">
      <c r="A429" s="165"/>
      <c r="B429" s="165"/>
      <c r="C429" s="16"/>
      <c r="D429" s="122"/>
      <c r="E429" s="122"/>
      <c r="F429" s="15"/>
      <c r="G429" s="117"/>
      <c r="H429" s="220"/>
      <c r="J429" s="9"/>
    </row>
    <row r="430" spans="1:10" s="10" customFormat="1" x14ac:dyDescent="0.2">
      <c r="A430" s="165"/>
      <c r="B430" s="165"/>
      <c r="C430" s="16"/>
      <c r="D430" s="122"/>
      <c r="E430" s="122"/>
      <c r="F430" s="212"/>
      <c r="G430" s="117"/>
      <c r="H430" s="220"/>
      <c r="J430" s="9"/>
    </row>
    <row r="431" spans="1:10" s="10" customFormat="1" x14ac:dyDescent="0.2">
      <c r="A431" s="165"/>
      <c r="B431" s="165"/>
      <c r="C431" s="16"/>
      <c r="D431" s="122"/>
      <c r="E431" s="122"/>
      <c r="F431" s="212"/>
      <c r="G431" s="117"/>
      <c r="H431" s="220"/>
      <c r="J431" s="9"/>
    </row>
    <row r="432" spans="1:10" s="10" customFormat="1" x14ac:dyDescent="0.2">
      <c r="A432" s="165"/>
      <c r="B432" s="165"/>
      <c r="C432" s="16"/>
      <c r="D432" s="122"/>
      <c r="E432" s="122"/>
      <c r="F432" s="212"/>
      <c r="G432" s="117"/>
      <c r="H432" s="220"/>
      <c r="J432" s="9"/>
    </row>
    <row r="433" spans="1:10" s="10" customFormat="1" x14ac:dyDescent="0.2">
      <c r="A433" s="165"/>
      <c r="B433" s="165"/>
      <c r="C433" s="16"/>
      <c r="D433" s="122"/>
      <c r="E433" s="122"/>
      <c r="F433" s="212"/>
      <c r="G433" s="117"/>
      <c r="H433" s="220"/>
      <c r="J433" s="9"/>
    </row>
    <row r="434" spans="1:10" s="10" customFormat="1" x14ac:dyDescent="0.2">
      <c r="A434" s="165"/>
      <c r="B434" s="165"/>
      <c r="C434" s="16"/>
      <c r="D434" s="122"/>
      <c r="E434" s="122"/>
      <c r="F434" s="212"/>
      <c r="G434" s="117"/>
      <c r="H434" s="220"/>
      <c r="J434" s="9"/>
    </row>
    <row r="435" spans="1:10" s="10" customFormat="1" x14ac:dyDescent="0.2">
      <c r="A435" s="165"/>
      <c r="B435" s="165"/>
      <c r="C435" s="16"/>
      <c r="D435" s="122"/>
      <c r="E435" s="122"/>
      <c r="F435" s="212"/>
      <c r="G435" s="117"/>
      <c r="H435" s="220"/>
      <c r="J435" s="9"/>
    </row>
    <row r="436" spans="1:10" s="10" customFormat="1" x14ac:dyDescent="0.2">
      <c r="A436" s="165"/>
      <c r="B436" s="165"/>
      <c r="C436" s="16"/>
      <c r="D436" s="122"/>
      <c r="E436" s="122"/>
      <c r="F436" s="212"/>
      <c r="G436" s="117"/>
      <c r="H436" s="220"/>
      <c r="J436" s="9"/>
    </row>
    <row r="437" spans="1:10" s="10" customFormat="1" x14ac:dyDescent="0.2">
      <c r="A437" s="165"/>
      <c r="B437" s="165"/>
      <c r="C437" s="16"/>
      <c r="D437" s="122"/>
      <c r="E437" s="122"/>
      <c r="F437" s="212"/>
      <c r="G437" s="117"/>
      <c r="H437" s="220"/>
      <c r="J437" s="9"/>
    </row>
    <row r="438" spans="1:10" s="10" customFormat="1" x14ac:dyDescent="0.2">
      <c r="A438" s="165"/>
      <c r="B438" s="165"/>
      <c r="C438" s="16"/>
      <c r="D438" s="122"/>
      <c r="E438" s="122"/>
      <c r="F438" s="212"/>
      <c r="G438" s="117"/>
      <c r="H438" s="220"/>
      <c r="J438" s="9"/>
    </row>
    <row r="439" spans="1:10" s="10" customFormat="1" x14ac:dyDescent="0.2">
      <c r="A439" s="165"/>
      <c r="B439" s="165"/>
      <c r="C439" s="16"/>
      <c r="D439" s="122"/>
      <c r="E439" s="122"/>
      <c r="F439" s="212"/>
      <c r="G439" s="117"/>
      <c r="H439" s="220"/>
      <c r="J439" s="9"/>
    </row>
    <row r="440" spans="1:10" s="10" customFormat="1" x14ac:dyDescent="0.2">
      <c r="A440" s="165"/>
      <c r="B440" s="165"/>
      <c r="C440" s="16"/>
      <c r="D440" s="122"/>
      <c r="E440" s="122"/>
      <c r="F440" s="212"/>
      <c r="G440" s="117"/>
      <c r="H440" s="220"/>
      <c r="J440" s="9"/>
    </row>
    <row r="441" spans="1:10" s="10" customFormat="1" x14ac:dyDescent="0.2">
      <c r="A441" s="165"/>
      <c r="B441" s="165"/>
      <c r="C441" s="16"/>
      <c r="D441" s="122"/>
      <c r="E441" s="122"/>
      <c r="F441" s="212"/>
      <c r="G441" s="117"/>
      <c r="H441" s="220"/>
      <c r="J441" s="9"/>
    </row>
    <row r="442" spans="1:10" s="10" customFormat="1" x14ac:dyDescent="0.2">
      <c r="A442" s="165"/>
      <c r="B442" s="165"/>
      <c r="C442" s="16"/>
      <c r="D442" s="122"/>
      <c r="E442" s="122"/>
      <c r="F442" s="212"/>
      <c r="G442" s="117"/>
      <c r="H442" s="220"/>
      <c r="J442" s="9"/>
    </row>
    <row r="443" spans="1:10" s="10" customFormat="1" x14ac:dyDescent="0.2">
      <c r="A443" s="165"/>
      <c r="B443" s="165"/>
      <c r="C443" s="16"/>
      <c r="D443" s="122"/>
      <c r="E443" s="122"/>
      <c r="F443" s="212"/>
      <c r="G443" s="117"/>
      <c r="H443" s="220"/>
      <c r="J443" s="9"/>
    </row>
    <row r="444" spans="1:10" s="10" customFormat="1" x14ac:dyDescent="0.2">
      <c r="A444" s="165"/>
      <c r="B444" s="165"/>
      <c r="C444" s="16"/>
      <c r="D444" s="122"/>
      <c r="E444" s="122"/>
      <c r="F444" s="212"/>
      <c r="G444" s="117"/>
      <c r="H444" s="220"/>
      <c r="J444" s="9"/>
    </row>
    <row r="445" spans="1:10" s="10" customFormat="1" x14ac:dyDescent="0.2">
      <c r="A445" s="165"/>
      <c r="B445" s="165"/>
      <c r="C445" s="16"/>
      <c r="D445" s="122"/>
      <c r="E445" s="122"/>
      <c r="F445" s="212"/>
      <c r="G445" s="117"/>
      <c r="H445" s="220"/>
      <c r="J445" s="9"/>
    </row>
    <row r="446" spans="1:10" s="10" customFormat="1" x14ac:dyDescent="0.2">
      <c r="A446" s="165"/>
      <c r="B446" s="165"/>
      <c r="C446" s="16"/>
      <c r="D446" s="122"/>
      <c r="E446" s="122"/>
      <c r="F446" s="212"/>
      <c r="G446" s="117"/>
      <c r="H446" s="220"/>
      <c r="J446" s="9"/>
    </row>
    <row r="447" spans="1:10" s="10" customFormat="1" x14ac:dyDescent="0.2">
      <c r="A447" s="165"/>
      <c r="B447" s="165"/>
      <c r="C447" s="16"/>
      <c r="D447" s="122"/>
      <c r="E447" s="122"/>
      <c r="F447" s="212"/>
      <c r="G447" s="117"/>
      <c r="H447" s="220"/>
      <c r="J447" s="9"/>
    </row>
    <row r="448" spans="1:10" s="10" customFormat="1" x14ac:dyDescent="0.2">
      <c r="A448" s="165"/>
      <c r="B448" s="165"/>
      <c r="C448" s="16"/>
      <c r="D448" s="122"/>
      <c r="E448" s="122"/>
      <c r="F448" s="212"/>
      <c r="G448" s="117"/>
      <c r="H448" s="220"/>
      <c r="J448" s="9"/>
    </row>
    <row r="449" spans="1:10" s="10" customFormat="1" x14ac:dyDescent="0.2">
      <c r="A449" s="165"/>
      <c r="B449" s="165"/>
      <c r="C449" s="16"/>
      <c r="D449" s="122"/>
      <c r="E449" s="122"/>
      <c r="F449" s="212"/>
      <c r="G449" s="117"/>
      <c r="H449" s="220"/>
      <c r="J449" s="9"/>
    </row>
    <row r="450" spans="1:10" s="10" customFormat="1" x14ac:dyDescent="0.2">
      <c r="A450" s="165"/>
      <c r="B450" s="165"/>
      <c r="C450" s="16"/>
      <c r="D450" s="122"/>
      <c r="E450" s="122"/>
      <c r="F450" s="212"/>
      <c r="G450" s="117"/>
      <c r="H450" s="220"/>
      <c r="J450" s="9"/>
    </row>
    <row r="451" spans="1:10" s="10" customFormat="1" x14ac:dyDescent="0.2">
      <c r="A451" s="165"/>
      <c r="B451" s="165"/>
      <c r="C451" s="16"/>
      <c r="D451" s="122"/>
      <c r="E451" s="122"/>
      <c r="F451" s="212"/>
      <c r="G451" s="117"/>
      <c r="H451" s="220"/>
      <c r="J451" s="9"/>
    </row>
    <row r="452" spans="1:10" s="10" customFormat="1" x14ac:dyDescent="0.2">
      <c r="A452" s="165"/>
      <c r="B452" s="165"/>
      <c r="C452" s="16"/>
      <c r="D452" s="122"/>
      <c r="E452" s="122"/>
      <c r="F452" s="212"/>
      <c r="G452" s="117"/>
      <c r="H452" s="220"/>
      <c r="J452" s="9"/>
    </row>
    <row r="453" spans="1:10" s="10" customFormat="1" x14ac:dyDescent="0.2">
      <c r="A453" s="165"/>
      <c r="B453" s="165"/>
      <c r="C453" s="16"/>
      <c r="D453" s="122"/>
      <c r="E453" s="122"/>
      <c r="F453" s="212"/>
      <c r="G453" s="117"/>
      <c r="H453" s="220"/>
      <c r="J453" s="9"/>
    </row>
    <row r="454" spans="1:10" s="10" customFormat="1" x14ac:dyDescent="0.2">
      <c r="A454" s="165"/>
      <c r="B454" s="165"/>
      <c r="C454" s="16"/>
      <c r="D454" s="122"/>
      <c r="E454" s="122"/>
      <c r="F454" s="212"/>
      <c r="G454" s="117"/>
      <c r="H454" s="220"/>
      <c r="J454" s="9"/>
    </row>
    <row r="455" spans="1:10" s="10" customFormat="1" x14ac:dyDescent="0.2">
      <c r="A455" s="165"/>
      <c r="B455" s="165"/>
      <c r="C455" s="16"/>
      <c r="D455" s="122"/>
      <c r="E455" s="122"/>
      <c r="F455" s="212"/>
      <c r="G455" s="117"/>
      <c r="H455" s="220"/>
      <c r="J455" s="9"/>
    </row>
    <row r="456" spans="1:10" s="10" customFormat="1" x14ac:dyDescent="0.2">
      <c r="A456" s="165"/>
      <c r="B456" s="165"/>
      <c r="C456" s="16"/>
      <c r="D456" s="122"/>
      <c r="E456" s="122"/>
      <c r="F456" s="212"/>
      <c r="G456" s="117"/>
      <c r="H456" s="220"/>
      <c r="J456" s="9"/>
    </row>
    <row r="457" spans="1:10" s="10" customFormat="1" x14ac:dyDescent="0.2">
      <c r="A457" s="165"/>
      <c r="B457" s="165"/>
      <c r="C457" s="16"/>
      <c r="D457" s="122"/>
      <c r="E457" s="122"/>
      <c r="F457" s="212"/>
      <c r="G457" s="117"/>
      <c r="H457" s="220"/>
      <c r="J457" s="9"/>
    </row>
    <row r="458" spans="1:10" s="10" customFormat="1" x14ac:dyDescent="0.2">
      <c r="A458" s="165"/>
      <c r="B458" s="165"/>
      <c r="C458" s="16"/>
      <c r="D458" s="122"/>
      <c r="E458" s="122"/>
      <c r="F458" s="212"/>
      <c r="G458" s="117"/>
      <c r="H458" s="220"/>
      <c r="J458" s="9"/>
    </row>
    <row r="459" spans="1:10" s="10" customFormat="1" x14ac:dyDescent="0.2">
      <c r="A459" s="165"/>
      <c r="B459" s="165"/>
      <c r="C459" s="16"/>
      <c r="D459" s="122"/>
      <c r="E459" s="122"/>
      <c r="F459" s="212"/>
      <c r="G459" s="117"/>
      <c r="H459" s="220"/>
      <c r="J459" s="9"/>
    </row>
    <row r="460" spans="1:10" s="10" customFormat="1" x14ac:dyDescent="0.2">
      <c r="A460" s="165"/>
      <c r="B460" s="165"/>
      <c r="C460" s="16"/>
      <c r="D460" s="122"/>
      <c r="E460" s="122"/>
      <c r="F460" s="212"/>
      <c r="G460" s="117"/>
      <c r="H460" s="220"/>
      <c r="J460" s="9"/>
    </row>
    <row r="461" spans="1:10" s="10" customFormat="1" x14ac:dyDescent="0.2">
      <c r="A461" s="165"/>
      <c r="B461" s="165"/>
      <c r="C461" s="16"/>
      <c r="D461" s="122"/>
      <c r="E461" s="122"/>
      <c r="F461" s="212"/>
      <c r="G461" s="117"/>
      <c r="H461" s="220"/>
      <c r="J461" s="9"/>
    </row>
    <row r="462" spans="1:10" s="10" customFormat="1" x14ac:dyDescent="0.2">
      <c r="A462" s="165"/>
      <c r="B462" s="165"/>
      <c r="C462" s="16"/>
      <c r="D462" s="122"/>
      <c r="E462" s="122"/>
      <c r="F462" s="212"/>
      <c r="G462" s="117"/>
      <c r="H462" s="220"/>
      <c r="J462" s="9"/>
    </row>
    <row r="463" spans="1:10" s="10" customFormat="1" x14ac:dyDescent="0.2">
      <c r="A463" s="165"/>
      <c r="B463" s="165"/>
      <c r="C463" s="16"/>
      <c r="D463" s="122"/>
      <c r="E463" s="122"/>
      <c r="F463" s="212"/>
      <c r="G463" s="117"/>
      <c r="H463" s="220"/>
      <c r="J463" s="9"/>
    </row>
    <row r="464" spans="1:10" s="10" customFormat="1" x14ac:dyDescent="0.2">
      <c r="A464" s="165"/>
      <c r="B464" s="165"/>
      <c r="C464" s="16"/>
      <c r="D464" s="122"/>
      <c r="E464" s="122"/>
      <c r="F464" s="15"/>
      <c r="G464" s="117"/>
      <c r="H464" s="220"/>
      <c r="J464" s="9"/>
    </row>
    <row r="465" spans="1:10" s="10" customFormat="1" x14ac:dyDescent="0.2">
      <c r="A465" s="165"/>
      <c r="B465" s="165"/>
      <c r="C465" s="16"/>
      <c r="D465" s="122"/>
      <c r="E465" s="122"/>
      <c r="F465" s="15"/>
      <c r="G465" s="117"/>
      <c r="H465" s="220"/>
      <c r="J465" s="9"/>
    </row>
    <row r="466" spans="1:10" s="10" customFormat="1" x14ac:dyDescent="0.2">
      <c r="A466" s="165"/>
      <c r="B466" s="165"/>
      <c r="C466" s="16"/>
      <c r="D466" s="122"/>
      <c r="E466" s="122"/>
      <c r="F466" s="15"/>
      <c r="G466" s="117"/>
      <c r="H466" s="220"/>
      <c r="J466" s="9"/>
    </row>
    <row r="467" spans="1:10" s="10" customFormat="1" x14ac:dyDescent="0.2">
      <c r="A467" s="165"/>
      <c r="B467" s="165"/>
      <c r="C467" s="16"/>
      <c r="D467" s="122"/>
      <c r="E467" s="122"/>
      <c r="F467" s="15"/>
      <c r="G467" s="117"/>
      <c r="H467" s="220"/>
      <c r="J467" s="9"/>
    </row>
    <row r="468" spans="1:10" s="10" customFormat="1" x14ac:dyDescent="0.2">
      <c r="A468" s="165"/>
      <c r="B468" s="165"/>
      <c r="C468" s="16"/>
      <c r="D468" s="122"/>
      <c r="E468" s="122"/>
      <c r="F468" s="15"/>
      <c r="G468" s="117"/>
      <c r="H468" s="220"/>
      <c r="J468" s="9"/>
    </row>
    <row r="469" spans="1:10" s="10" customFormat="1" x14ac:dyDescent="0.2">
      <c r="A469" s="165"/>
      <c r="B469" s="165"/>
      <c r="C469" s="16"/>
      <c r="D469" s="122"/>
      <c r="E469" s="122"/>
      <c r="F469" s="15"/>
      <c r="G469" s="117"/>
      <c r="H469" s="220"/>
      <c r="J469" s="9"/>
    </row>
    <row r="470" spans="1:10" s="10" customFormat="1" x14ac:dyDescent="0.2">
      <c r="A470" s="165"/>
      <c r="B470" s="165"/>
      <c r="C470" s="16"/>
      <c r="D470" s="122"/>
      <c r="E470" s="122"/>
      <c r="F470" s="15"/>
      <c r="G470" s="117"/>
      <c r="H470" s="220"/>
      <c r="J470" s="9"/>
    </row>
    <row r="471" spans="1:10" s="10" customFormat="1" x14ac:dyDescent="0.2">
      <c r="A471" s="165"/>
      <c r="B471" s="165"/>
      <c r="C471" s="16"/>
      <c r="D471" s="122"/>
      <c r="E471" s="122"/>
      <c r="F471" s="15"/>
      <c r="G471" s="117"/>
      <c r="H471" s="220"/>
      <c r="J471" s="9"/>
    </row>
    <row r="472" spans="1:10" s="10" customFormat="1" x14ac:dyDescent="0.2">
      <c r="A472" s="165"/>
      <c r="B472" s="165"/>
      <c r="C472" s="16"/>
      <c r="D472" s="122"/>
      <c r="E472" s="122"/>
      <c r="F472" s="15"/>
      <c r="G472" s="117"/>
      <c r="H472" s="220"/>
      <c r="J472" s="9"/>
    </row>
    <row r="473" spans="1:10" s="10" customFormat="1" x14ac:dyDescent="0.2">
      <c r="A473" s="165"/>
      <c r="B473" s="165"/>
      <c r="C473" s="16"/>
      <c r="D473" s="122"/>
      <c r="E473" s="122"/>
      <c r="F473" s="15"/>
      <c r="G473" s="117"/>
      <c r="H473" s="220"/>
      <c r="J473" s="9"/>
    </row>
    <row r="474" spans="1:10" s="10" customFormat="1" x14ac:dyDescent="0.2">
      <c r="A474" s="165"/>
      <c r="B474" s="165"/>
      <c r="C474" s="16"/>
      <c r="D474" s="122"/>
      <c r="E474" s="122"/>
      <c r="F474" s="15"/>
      <c r="G474" s="117"/>
      <c r="H474" s="220"/>
      <c r="J474" s="9"/>
    </row>
    <row r="475" spans="1:10" s="10" customFormat="1" x14ac:dyDescent="0.2">
      <c r="A475" s="165"/>
      <c r="B475" s="165"/>
      <c r="C475" s="16"/>
      <c r="D475" s="122"/>
      <c r="E475" s="122"/>
      <c r="F475" s="15"/>
      <c r="G475" s="117"/>
      <c r="H475" s="220"/>
      <c r="J475" s="9"/>
    </row>
    <row r="476" spans="1:10" s="10" customFormat="1" x14ac:dyDescent="0.2">
      <c r="A476" s="165"/>
      <c r="B476" s="165"/>
      <c r="C476" s="16"/>
      <c r="D476" s="122"/>
      <c r="E476" s="122"/>
      <c r="F476" s="15"/>
      <c r="G476" s="117"/>
      <c r="H476" s="220"/>
      <c r="J476" s="9"/>
    </row>
    <row r="477" spans="1:10" s="10" customFormat="1" x14ac:dyDescent="0.2">
      <c r="A477" s="165"/>
      <c r="B477" s="165"/>
      <c r="C477" s="16"/>
      <c r="D477" s="122"/>
      <c r="E477" s="122"/>
      <c r="F477" s="15"/>
      <c r="G477" s="117"/>
      <c r="H477" s="220"/>
      <c r="J477" s="9"/>
    </row>
    <row r="478" spans="1:10" s="10" customFormat="1" x14ac:dyDescent="0.2">
      <c r="A478" s="165"/>
      <c r="B478" s="165"/>
      <c r="C478" s="16"/>
      <c r="D478" s="122"/>
      <c r="E478" s="122"/>
      <c r="F478" s="15"/>
      <c r="G478" s="117"/>
      <c r="H478" s="220"/>
      <c r="J478" s="9"/>
    </row>
    <row r="479" spans="1:10" s="10" customFormat="1" x14ac:dyDescent="0.2">
      <c r="A479" s="165"/>
      <c r="B479" s="165"/>
      <c r="C479" s="16"/>
      <c r="D479" s="122"/>
      <c r="E479" s="122"/>
      <c r="F479" s="15"/>
      <c r="G479" s="117"/>
      <c r="H479" s="220"/>
      <c r="J479" s="9"/>
    </row>
    <row r="480" spans="1:10" s="10" customFormat="1" x14ac:dyDescent="0.2">
      <c r="A480" s="165"/>
      <c r="B480" s="165"/>
      <c r="C480" s="16"/>
      <c r="D480" s="122"/>
      <c r="E480" s="122"/>
      <c r="F480" s="15"/>
      <c r="G480" s="117"/>
      <c r="H480" s="220"/>
      <c r="J480" s="9"/>
    </row>
    <row r="481" spans="1:10" s="10" customFormat="1" x14ac:dyDescent="0.2">
      <c r="A481" s="165"/>
      <c r="B481" s="165"/>
      <c r="C481" s="16"/>
      <c r="D481" s="122"/>
      <c r="E481" s="122"/>
      <c r="F481" s="15"/>
      <c r="G481" s="117"/>
      <c r="H481" s="220"/>
      <c r="J481" s="9"/>
    </row>
    <row r="482" spans="1:10" s="10" customFormat="1" x14ac:dyDescent="0.2">
      <c r="A482" s="165"/>
      <c r="B482" s="165"/>
      <c r="C482" s="16"/>
      <c r="D482" s="122"/>
      <c r="E482" s="122"/>
      <c r="F482" s="15"/>
      <c r="G482" s="117"/>
      <c r="H482" s="220"/>
      <c r="J482" s="9"/>
    </row>
    <row r="483" spans="1:10" s="10" customFormat="1" x14ac:dyDescent="0.2">
      <c r="A483" s="165"/>
      <c r="B483" s="165"/>
      <c r="C483" s="16"/>
      <c r="D483" s="122"/>
      <c r="E483" s="122"/>
      <c r="F483" s="15"/>
      <c r="G483" s="117"/>
      <c r="H483" s="220"/>
      <c r="J483" s="9"/>
    </row>
    <row r="484" spans="1:10" s="10" customFormat="1" x14ac:dyDescent="0.2">
      <c r="A484" s="165"/>
      <c r="B484" s="165"/>
      <c r="C484" s="16"/>
      <c r="D484" s="122"/>
      <c r="E484" s="122"/>
      <c r="F484" s="15"/>
      <c r="G484" s="117"/>
      <c r="H484" s="220"/>
      <c r="J484" s="9"/>
    </row>
    <row r="485" spans="1:10" s="10" customFormat="1" x14ac:dyDescent="0.2">
      <c r="A485" s="165"/>
      <c r="B485" s="165"/>
      <c r="C485" s="16"/>
      <c r="D485" s="122"/>
      <c r="E485" s="122"/>
      <c r="F485" s="15"/>
      <c r="G485" s="117"/>
      <c r="H485" s="220"/>
      <c r="J485" s="9"/>
    </row>
    <row r="486" spans="1:10" s="10" customFormat="1" x14ac:dyDescent="0.2">
      <c r="A486" s="165"/>
      <c r="B486" s="165"/>
      <c r="C486" s="16"/>
      <c r="D486" s="122"/>
      <c r="E486" s="122"/>
      <c r="F486" s="15"/>
      <c r="G486" s="117"/>
      <c r="H486" s="220"/>
      <c r="J486" s="9"/>
    </row>
    <row r="487" spans="1:10" s="10" customFormat="1" x14ac:dyDescent="0.2">
      <c r="A487" s="165"/>
      <c r="B487" s="165"/>
      <c r="C487" s="16"/>
      <c r="D487" s="122"/>
      <c r="E487" s="122"/>
      <c r="F487" s="15"/>
      <c r="G487" s="117"/>
      <c r="H487" s="220"/>
      <c r="J487" s="9"/>
    </row>
    <row r="488" spans="1:10" s="10" customFormat="1" x14ac:dyDescent="0.2">
      <c r="A488" s="165"/>
      <c r="B488" s="165"/>
      <c r="C488" s="16"/>
      <c r="D488" s="122"/>
      <c r="E488" s="122"/>
      <c r="F488" s="15"/>
      <c r="G488" s="117"/>
      <c r="H488" s="220"/>
      <c r="J488" s="9"/>
    </row>
    <row r="489" spans="1:10" s="10" customFormat="1" x14ac:dyDescent="0.2">
      <c r="A489" s="165"/>
      <c r="B489" s="165"/>
      <c r="C489" s="16"/>
      <c r="D489" s="122"/>
      <c r="E489" s="122"/>
      <c r="F489" s="15"/>
      <c r="G489" s="117"/>
      <c r="H489" s="220"/>
      <c r="J489" s="9"/>
    </row>
    <row r="490" spans="1:10" s="10" customFormat="1" x14ac:dyDescent="0.2">
      <c r="A490" s="165"/>
      <c r="B490" s="165"/>
      <c r="C490" s="16"/>
      <c r="D490" s="122"/>
      <c r="E490" s="122"/>
      <c r="F490" s="15"/>
      <c r="G490" s="117"/>
      <c r="H490" s="220"/>
      <c r="J490" s="9"/>
    </row>
    <row r="491" spans="1:10" s="10" customFormat="1" x14ac:dyDescent="0.2">
      <c r="A491" s="165"/>
      <c r="B491" s="165"/>
      <c r="C491" s="16"/>
      <c r="D491" s="122"/>
      <c r="E491" s="122"/>
      <c r="F491" s="15"/>
      <c r="G491" s="117"/>
      <c r="H491" s="220"/>
      <c r="J491" s="9"/>
    </row>
    <row r="492" spans="1:10" s="10" customFormat="1" x14ac:dyDescent="0.2">
      <c r="A492" s="165"/>
      <c r="B492" s="165"/>
      <c r="C492" s="16"/>
      <c r="D492" s="122"/>
      <c r="E492" s="122"/>
      <c r="F492" s="15"/>
      <c r="G492" s="117"/>
      <c r="H492" s="220"/>
      <c r="J492" s="9"/>
    </row>
    <row r="493" spans="1:10" s="10" customFormat="1" x14ac:dyDescent="0.2">
      <c r="A493" s="165"/>
      <c r="B493" s="165"/>
      <c r="C493" s="16"/>
      <c r="D493" s="122"/>
      <c r="E493" s="122"/>
      <c r="F493" s="15"/>
      <c r="G493" s="117"/>
      <c r="H493" s="220"/>
      <c r="J493" s="9"/>
    </row>
    <row r="494" spans="1:10" s="10" customFormat="1" x14ac:dyDescent="0.2">
      <c r="A494" s="165"/>
      <c r="B494" s="165"/>
      <c r="C494" s="16"/>
      <c r="D494" s="122"/>
      <c r="E494" s="122"/>
      <c r="F494" s="15"/>
      <c r="G494" s="117"/>
      <c r="H494" s="220"/>
      <c r="J494" s="9"/>
    </row>
    <row r="495" spans="1:10" s="10" customFormat="1" x14ac:dyDescent="0.2">
      <c r="A495" s="165"/>
      <c r="B495" s="165"/>
      <c r="C495" s="16"/>
      <c r="D495" s="122"/>
      <c r="E495" s="122"/>
      <c r="F495" s="15"/>
      <c r="G495" s="117"/>
      <c r="H495" s="220"/>
      <c r="J495" s="9"/>
    </row>
    <row r="496" spans="1:10" s="10" customFormat="1" x14ac:dyDescent="0.2">
      <c r="A496" s="165"/>
      <c r="B496" s="165"/>
      <c r="C496" s="16"/>
      <c r="D496" s="122"/>
      <c r="E496" s="122"/>
      <c r="F496" s="15"/>
      <c r="G496" s="117"/>
      <c r="H496" s="220"/>
      <c r="J496" s="9"/>
    </row>
    <row r="497" spans="1:10" s="10" customFormat="1" x14ac:dyDescent="0.2">
      <c r="A497" s="165"/>
      <c r="B497" s="165"/>
      <c r="C497" s="16"/>
      <c r="D497" s="122"/>
      <c r="E497" s="122"/>
      <c r="F497" s="15"/>
      <c r="G497" s="117"/>
      <c r="H497" s="220"/>
      <c r="J497" s="9"/>
    </row>
    <row r="498" spans="1:10" s="10" customFormat="1" x14ac:dyDescent="0.2">
      <c r="A498" s="165"/>
      <c r="B498" s="165"/>
      <c r="C498" s="16"/>
      <c r="D498" s="122"/>
      <c r="E498" s="122"/>
      <c r="F498" s="15"/>
      <c r="G498" s="117"/>
      <c r="H498" s="220"/>
      <c r="J498" s="9"/>
    </row>
    <row r="499" spans="1:10" s="10" customFormat="1" x14ac:dyDescent="0.2">
      <c r="A499" s="165"/>
      <c r="B499" s="165"/>
      <c r="C499" s="16"/>
      <c r="D499" s="122"/>
      <c r="E499" s="122"/>
      <c r="F499" s="15"/>
      <c r="G499" s="117"/>
      <c r="H499" s="220"/>
      <c r="J499" s="9"/>
    </row>
    <row r="500" spans="1:10" s="10" customFormat="1" x14ac:dyDescent="0.2">
      <c r="A500" s="165"/>
      <c r="B500" s="165"/>
      <c r="C500" s="16"/>
      <c r="D500" s="122"/>
      <c r="E500" s="122"/>
      <c r="F500" s="15"/>
      <c r="G500" s="117"/>
      <c r="H500" s="220"/>
      <c r="J500" s="9"/>
    </row>
    <row r="501" spans="1:10" s="10" customFormat="1" x14ac:dyDescent="0.2">
      <c r="A501" s="165"/>
      <c r="B501" s="165"/>
      <c r="C501" s="16"/>
      <c r="D501" s="122"/>
      <c r="E501" s="122"/>
      <c r="F501" s="15"/>
      <c r="G501" s="117"/>
      <c r="H501" s="220"/>
      <c r="J501" s="9"/>
    </row>
    <row r="502" spans="1:10" s="10" customFormat="1" x14ac:dyDescent="0.2">
      <c r="A502" s="165"/>
      <c r="B502" s="165"/>
      <c r="C502" s="16"/>
      <c r="D502" s="122"/>
      <c r="E502" s="122"/>
      <c r="F502" s="15"/>
      <c r="G502" s="117"/>
      <c r="H502" s="220"/>
      <c r="J502" s="9"/>
    </row>
    <row r="503" spans="1:10" s="10" customFormat="1" x14ac:dyDescent="0.2">
      <c r="A503" s="165"/>
      <c r="B503" s="165"/>
      <c r="C503" s="16"/>
      <c r="D503" s="122"/>
      <c r="E503" s="122"/>
      <c r="F503" s="15"/>
      <c r="G503" s="117"/>
      <c r="H503" s="220"/>
      <c r="J503" s="9"/>
    </row>
    <row r="504" spans="1:10" s="10" customFormat="1" x14ac:dyDescent="0.2">
      <c r="A504" s="165"/>
      <c r="B504" s="165"/>
      <c r="C504" s="16"/>
      <c r="D504" s="122"/>
      <c r="E504" s="122"/>
      <c r="F504" s="15"/>
      <c r="G504" s="117"/>
      <c r="H504" s="220"/>
      <c r="J504" s="9"/>
    </row>
    <row r="505" spans="1:10" s="10" customFormat="1" x14ac:dyDescent="0.2">
      <c r="A505" s="165"/>
      <c r="B505" s="165"/>
      <c r="C505" s="16"/>
      <c r="D505" s="122"/>
      <c r="E505" s="122"/>
      <c r="F505" s="15"/>
      <c r="G505" s="117"/>
      <c r="H505" s="220"/>
      <c r="J505" s="9"/>
    </row>
    <row r="506" spans="1:10" s="10" customFormat="1" x14ac:dyDescent="0.2">
      <c r="A506" s="165"/>
      <c r="B506" s="165"/>
      <c r="C506" s="16"/>
      <c r="D506" s="122"/>
      <c r="E506" s="122"/>
      <c r="F506" s="15"/>
      <c r="G506" s="117"/>
      <c r="H506" s="220"/>
      <c r="J506" s="9"/>
    </row>
    <row r="507" spans="1:10" s="10" customFormat="1" x14ac:dyDescent="0.2">
      <c r="A507" s="165"/>
      <c r="B507" s="165"/>
      <c r="C507" s="16"/>
      <c r="D507" s="122"/>
      <c r="E507" s="122"/>
      <c r="F507" s="15"/>
      <c r="G507" s="117"/>
      <c r="H507" s="220"/>
      <c r="J507" s="9"/>
    </row>
    <row r="508" spans="1:10" s="10" customFormat="1" x14ac:dyDescent="0.2">
      <c r="A508" s="165"/>
      <c r="B508" s="165"/>
      <c r="C508" s="16"/>
      <c r="D508" s="122"/>
      <c r="E508" s="122"/>
      <c r="F508" s="15"/>
      <c r="G508" s="117"/>
      <c r="H508" s="220"/>
      <c r="J508" s="9"/>
    </row>
    <row r="509" spans="1:10" s="10" customFormat="1" x14ac:dyDescent="0.2">
      <c r="A509" s="165"/>
      <c r="B509" s="165"/>
      <c r="C509" s="16"/>
      <c r="D509" s="122"/>
      <c r="E509" s="122"/>
      <c r="F509" s="15"/>
      <c r="G509" s="117"/>
      <c r="H509" s="220"/>
      <c r="J509" s="9"/>
    </row>
    <row r="510" spans="1:10" s="10" customFormat="1" x14ac:dyDescent="0.2">
      <c r="A510" s="165"/>
      <c r="B510" s="165"/>
      <c r="C510" s="16"/>
      <c r="D510" s="122"/>
      <c r="E510" s="122"/>
      <c r="F510" s="15"/>
      <c r="G510" s="117"/>
      <c r="H510" s="220"/>
      <c r="J510" s="9"/>
    </row>
    <row r="511" spans="1:10" s="10" customFormat="1" x14ac:dyDescent="0.2">
      <c r="A511" s="165"/>
      <c r="B511" s="165"/>
      <c r="C511" s="16"/>
      <c r="D511" s="122"/>
      <c r="E511" s="122"/>
      <c r="F511" s="15"/>
      <c r="G511" s="117"/>
      <c r="H511" s="220"/>
      <c r="J511" s="9"/>
    </row>
    <row r="512" spans="1:10" s="10" customFormat="1" x14ac:dyDescent="0.2">
      <c r="A512" s="165"/>
      <c r="B512" s="165"/>
      <c r="C512" s="16"/>
      <c r="D512" s="122"/>
      <c r="E512" s="122"/>
      <c r="F512" s="15"/>
      <c r="G512" s="117"/>
      <c r="H512" s="220"/>
      <c r="J512" s="9"/>
    </row>
    <row r="513" spans="1:10" s="10" customFormat="1" x14ac:dyDescent="0.2">
      <c r="A513" s="165"/>
      <c r="B513" s="165"/>
      <c r="C513" s="16"/>
      <c r="D513" s="122"/>
      <c r="E513" s="122"/>
      <c r="F513" s="15"/>
      <c r="G513" s="117"/>
      <c r="H513" s="220"/>
      <c r="J513" s="9"/>
    </row>
    <row r="514" spans="1:10" s="10" customFormat="1" x14ac:dyDescent="0.2">
      <c r="A514" s="165"/>
      <c r="B514" s="165"/>
      <c r="C514" s="16"/>
      <c r="D514" s="122"/>
      <c r="E514" s="122"/>
      <c r="F514" s="15"/>
      <c r="G514" s="117"/>
      <c r="H514" s="220"/>
      <c r="J514" s="9"/>
    </row>
    <row r="515" spans="1:10" s="10" customFormat="1" x14ac:dyDescent="0.2">
      <c r="A515" s="165"/>
      <c r="B515" s="165"/>
      <c r="C515" s="16"/>
      <c r="D515" s="122"/>
      <c r="E515" s="122"/>
      <c r="F515" s="15"/>
      <c r="G515" s="117"/>
      <c r="H515" s="220"/>
      <c r="J515" s="9"/>
    </row>
    <row r="516" spans="1:10" s="10" customFormat="1" x14ac:dyDescent="0.2">
      <c r="A516" s="165"/>
      <c r="B516" s="165"/>
      <c r="C516" s="16"/>
      <c r="D516" s="122"/>
      <c r="E516" s="122"/>
      <c r="F516" s="15"/>
      <c r="G516" s="117"/>
      <c r="H516" s="220"/>
      <c r="J516" s="9"/>
    </row>
    <row r="517" spans="1:10" s="10" customFormat="1" x14ac:dyDescent="0.2">
      <c r="A517" s="165"/>
      <c r="B517" s="165"/>
      <c r="C517" s="16"/>
      <c r="D517" s="122"/>
      <c r="E517" s="122"/>
      <c r="F517" s="15"/>
      <c r="G517" s="117"/>
      <c r="H517" s="220"/>
      <c r="J517" s="9"/>
    </row>
    <row r="518" spans="1:10" s="10" customFormat="1" x14ac:dyDescent="0.2">
      <c r="A518" s="165"/>
      <c r="B518" s="165"/>
      <c r="C518" s="16"/>
      <c r="D518" s="122"/>
      <c r="E518" s="122"/>
      <c r="F518" s="15"/>
      <c r="G518" s="117"/>
      <c r="H518" s="220"/>
      <c r="J518" s="9"/>
    </row>
    <row r="519" spans="1:10" s="10" customFormat="1" x14ac:dyDescent="0.2">
      <c r="A519" s="165"/>
      <c r="B519" s="165"/>
      <c r="C519" s="16"/>
      <c r="D519" s="122"/>
      <c r="E519" s="122"/>
      <c r="F519" s="15"/>
      <c r="G519" s="117"/>
      <c r="H519" s="220"/>
      <c r="J519" s="9"/>
    </row>
    <row r="520" spans="1:10" s="10" customFormat="1" x14ac:dyDescent="0.2">
      <c r="A520" s="165"/>
      <c r="B520" s="165"/>
      <c r="C520" s="16"/>
      <c r="D520" s="122"/>
      <c r="E520" s="122"/>
      <c r="F520" s="15"/>
      <c r="G520" s="117"/>
      <c r="H520" s="220"/>
      <c r="J520" s="9"/>
    </row>
    <row r="521" spans="1:10" s="10" customFormat="1" x14ac:dyDescent="0.2">
      <c r="A521" s="165"/>
      <c r="B521" s="165"/>
      <c r="C521" s="16"/>
      <c r="D521" s="122"/>
      <c r="E521" s="122"/>
      <c r="F521" s="15"/>
      <c r="G521" s="117"/>
      <c r="H521" s="220"/>
      <c r="J521" s="9"/>
    </row>
    <row r="522" spans="1:10" s="10" customFormat="1" x14ac:dyDescent="0.2">
      <c r="A522" s="165"/>
      <c r="B522" s="165"/>
      <c r="C522" s="16"/>
      <c r="D522" s="122"/>
      <c r="E522" s="122"/>
      <c r="F522" s="15"/>
      <c r="G522" s="117"/>
      <c r="H522" s="220"/>
      <c r="J522" s="9"/>
    </row>
    <row r="523" spans="1:10" s="10" customFormat="1" x14ac:dyDescent="0.2">
      <c r="A523" s="165"/>
      <c r="B523" s="165"/>
      <c r="C523" s="16"/>
      <c r="D523" s="122"/>
      <c r="E523" s="122"/>
      <c r="F523" s="15"/>
      <c r="G523" s="117"/>
      <c r="H523" s="220"/>
      <c r="J523" s="9"/>
    </row>
    <row r="524" spans="1:10" s="10" customFormat="1" x14ac:dyDescent="0.2">
      <c r="A524" s="165"/>
      <c r="B524" s="165"/>
      <c r="C524" s="16"/>
      <c r="D524" s="122"/>
      <c r="E524" s="122"/>
      <c r="F524" s="15"/>
      <c r="G524" s="117"/>
      <c r="H524" s="220"/>
      <c r="J524" s="9"/>
    </row>
    <row r="525" spans="1:10" s="10" customFormat="1" x14ac:dyDescent="0.2">
      <c r="A525" s="165"/>
      <c r="B525" s="165"/>
      <c r="C525" s="16"/>
      <c r="D525" s="122"/>
      <c r="E525" s="122"/>
      <c r="F525" s="15"/>
      <c r="G525" s="117"/>
      <c r="H525" s="220"/>
      <c r="J525" s="9"/>
    </row>
    <row r="526" spans="1:10" s="10" customFormat="1" x14ac:dyDescent="0.2">
      <c r="A526" s="165"/>
      <c r="B526" s="165"/>
      <c r="C526" s="16"/>
      <c r="D526" s="122"/>
      <c r="E526" s="122"/>
      <c r="F526" s="15"/>
      <c r="G526" s="117"/>
      <c r="H526" s="220"/>
      <c r="J526" s="9"/>
    </row>
    <row r="527" spans="1:10" s="10" customFormat="1" x14ac:dyDescent="0.2">
      <c r="A527" s="165"/>
      <c r="B527" s="165"/>
      <c r="C527" s="16"/>
      <c r="D527" s="122"/>
      <c r="E527" s="122"/>
      <c r="F527" s="15"/>
      <c r="G527" s="117"/>
      <c r="H527" s="220"/>
      <c r="J527" s="9"/>
    </row>
    <row r="528" spans="1:10" s="10" customFormat="1" x14ac:dyDescent="0.2">
      <c r="A528" s="165"/>
      <c r="B528" s="165"/>
      <c r="C528" s="16"/>
      <c r="D528" s="122"/>
      <c r="E528" s="122"/>
      <c r="F528" s="15"/>
      <c r="G528" s="117"/>
      <c r="H528" s="220"/>
      <c r="J528" s="9"/>
    </row>
    <row r="529" spans="1:10" s="10" customFormat="1" x14ac:dyDescent="0.2">
      <c r="A529" s="165"/>
      <c r="B529" s="165"/>
      <c r="C529" s="16"/>
      <c r="D529" s="122"/>
      <c r="E529" s="122"/>
      <c r="F529" s="15"/>
      <c r="G529" s="117"/>
      <c r="H529" s="220"/>
      <c r="J529" s="9"/>
    </row>
    <row r="530" spans="1:10" s="10" customFormat="1" x14ac:dyDescent="0.2">
      <c r="A530" s="165"/>
      <c r="B530" s="165"/>
      <c r="C530" s="16"/>
      <c r="D530" s="122"/>
      <c r="E530" s="122"/>
      <c r="F530" s="15"/>
      <c r="G530" s="117"/>
      <c r="H530" s="220"/>
      <c r="J530" s="9"/>
    </row>
    <row r="531" spans="1:10" s="10" customFormat="1" x14ac:dyDescent="0.2">
      <c r="A531" s="165"/>
      <c r="B531" s="165"/>
      <c r="C531" s="16"/>
      <c r="D531" s="122"/>
      <c r="E531" s="122"/>
      <c r="F531" s="15"/>
      <c r="G531" s="117"/>
      <c r="H531" s="220"/>
      <c r="J531" s="9"/>
    </row>
    <row r="532" spans="1:10" s="10" customFormat="1" x14ac:dyDescent="0.2">
      <c r="A532" s="165"/>
      <c r="B532" s="165"/>
      <c r="C532" s="16"/>
      <c r="D532" s="122"/>
      <c r="E532" s="122"/>
      <c r="F532" s="15"/>
      <c r="G532" s="117"/>
      <c r="H532" s="220"/>
      <c r="J532" s="9"/>
    </row>
    <row r="533" spans="1:10" s="10" customFormat="1" x14ac:dyDescent="0.2">
      <c r="A533" s="165"/>
      <c r="B533" s="165"/>
      <c r="C533" s="16"/>
      <c r="D533" s="122"/>
      <c r="E533" s="122"/>
      <c r="F533" s="15"/>
      <c r="G533" s="117"/>
      <c r="H533" s="220"/>
      <c r="J533" s="9"/>
    </row>
    <row r="534" spans="1:10" s="10" customFormat="1" x14ac:dyDescent="0.2">
      <c r="A534" s="165"/>
      <c r="B534" s="165"/>
      <c r="C534" s="16"/>
      <c r="D534" s="122"/>
      <c r="E534" s="122"/>
      <c r="F534" s="15"/>
      <c r="G534" s="117"/>
      <c r="H534" s="220"/>
      <c r="J534" s="9"/>
    </row>
    <row r="535" spans="1:10" s="10" customFormat="1" x14ac:dyDescent="0.2">
      <c r="A535" s="165"/>
      <c r="B535" s="165"/>
      <c r="C535" s="16"/>
      <c r="D535" s="122"/>
      <c r="E535" s="122"/>
      <c r="F535" s="15"/>
      <c r="G535" s="117"/>
      <c r="H535" s="220"/>
      <c r="J535" s="9"/>
    </row>
    <row r="536" spans="1:10" s="10" customFormat="1" x14ac:dyDescent="0.2">
      <c r="A536" s="165"/>
      <c r="B536" s="165"/>
      <c r="C536" s="16"/>
      <c r="D536" s="122"/>
      <c r="E536" s="122"/>
      <c r="F536" s="15"/>
      <c r="G536" s="117"/>
      <c r="H536" s="220"/>
      <c r="J536" s="9"/>
    </row>
    <row r="537" spans="1:10" s="10" customFormat="1" x14ac:dyDescent="0.2">
      <c r="A537" s="165"/>
      <c r="B537" s="165"/>
      <c r="C537" s="16"/>
      <c r="D537" s="122"/>
      <c r="E537" s="122"/>
      <c r="F537" s="15"/>
      <c r="G537" s="117"/>
      <c r="H537" s="220"/>
      <c r="J537" s="9"/>
    </row>
    <row r="538" spans="1:10" s="10" customFormat="1" x14ac:dyDescent="0.2">
      <c r="A538" s="165"/>
      <c r="B538" s="165"/>
      <c r="C538" s="16"/>
      <c r="D538" s="122"/>
      <c r="E538" s="122"/>
      <c r="F538" s="15"/>
      <c r="G538" s="117"/>
      <c r="H538" s="220"/>
      <c r="J538" s="9"/>
    </row>
    <row r="539" spans="1:10" s="10" customFormat="1" x14ac:dyDescent="0.2">
      <c r="A539" s="165"/>
      <c r="B539" s="165"/>
      <c r="C539" s="16"/>
      <c r="D539" s="122"/>
      <c r="E539" s="122"/>
      <c r="F539" s="15"/>
      <c r="G539" s="117"/>
      <c r="H539" s="220"/>
      <c r="J539" s="9"/>
    </row>
    <row r="540" spans="1:10" s="10" customFormat="1" x14ac:dyDescent="0.2">
      <c r="A540" s="165"/>
      <c r="B540" s="165"/>
      <c r="C540" s="16"/>
      <c r="D540" s="122"/>
      <c r="E540" s="122"/>
      <c r="F540" s="15"/>
      <c r="G540" s="117"/>
      <c r="H540" s="220"/>
      <c r="J540" s="9"/>
    </row>
    <row r="541" spans="1:10" s="10" customFormat="1" x14ac:dyDescent="0.2">
      <c r="A541" s="165"/>
      <c r="B541" s="165"/>
      <c r="C541" s="16"/>
      <c r="D541" s="122"/>
      <c r="E541" s="122"/>
      <c r="F541" s="15"/>
      <c r="G541" s="117"/>
      <c r="H541" s="220"/>
      <c r="J541" s="9"/>
    </row>
    <row r="542" spans="1:10" s="10" customFormat="1" x14ac:dyDescent="0.2">
      <c r="A542" s="165"/>
      <c r="B542" s="165"/>
      <c r="C542" s="16"/>
      <c r="D542" s="122"/>
      <c r="E542" s="122"/>
      <c r="F542" s="15"/>
      <c r="G542" s="117"/>
      <c r="H542" s="220"/>
      <c r="J542" s="9"/>
    </row>
    <row r="543" spans="1:10" s="10" customFormat="1" x14ac:dyDescent="0.2">
      <c r="A543" s="165"/>
      <c r="B543" s="165"/>
      <c r="C543" s="16"/>
      <c r="D543" s="122"/>
      <c r="E543" s="122"/>
      <c r="F543" s="15"/>
      <c r="G543" s="117"/>
      <c r="H543" s="220"/>
      <c r="J543" s="9"/>
    </row>
    <row r="544" spans="1:10" s="10" customFormat="1" x14ac:dyDescent="0.2">
      <c r="A544" s="165"/>
      <c r="B544" s="165"/>
      <c r="C544" s="16"/>
      <c r="D544" s="122"/>
      <c r="E544" s="122"/>
      <c r="F544" s="15"/>
      <c r="G544" s="117"/>
      <c r="H544" s="220"/>
      <c r="J544" s="9"/>
    </row>
    <row r="545" spans="1:10" s="10" customFormat="1" x14ac:dyDescent="0.2">
      <c r="A545" s="165"/>
      <c r="B545" s="165"/>
      <c r="C545" s="16"/>
      <c r="D545" s="122"/>
      <c r="E545" s="122"/>
      <c r="F545" s="15"/>
      <c r="G545" s="117"/>
      <c r="H545" s="220"/>
      <c r="J545" s="9"/>
    </row>
    <row r="546" spans="1:10" s="10" customFormat="1" x14ac:dyDescent="0.2">
      <c r="A546" s="165"/>
      <c r="B546" s="165"/>
      <c r="C546" s="16"/>
      <c r="D546" s="122"/>
      <c r="E546" s="122"/>
      <c r="F546" s="15"/>
      <c r="G546" s="117"/>
      <c r="H546" s="220"/>
      <c r="J546" s="9"/>
    </row>
    <row r="547" spans="1:10" s="10" customFormat="1" x14ac:dyDescent="0.2">
      <c r="A547" s="165"/>
      <c r="B547" s="165"/>
      <c r="C547" s="16"/>
      <c r="D547" s="122"/>
      <c r="E547" s="122"/>
      <c r="F547" s="15"/>
      <c r="G547" s="117"/>
      <c r="H547" s="220"/>
      <c r="J547" s="9"/>
    </row>
    <row r="548" spans="1:10" s="10" customFormat="1" x14ac:dyDescent="0.2">
      <c r="A548" s="165"/>
      <c r="B548" s="165"/>
      <c r="C548" s="16"/>
      <c r="D548" s="122"/>
      <c r="E548" s="122"/>
      <c r="F548" s="15"/>
      <c r="G548" s="117"/>
      <c r="H548" s="220"/>
      <c r="J548" s="9"/>
    </row>
    <row r="549" spans="1:10" s="10" customFormat="1" x14ac:dyDescent="0.2">
      <c r="A549" s="165"/>
      <c r="B549" s="165"/>
      <c r="C549" s="16"/>
      <c r="D549" s="122"/>
      <c r="E549" s="122"/>
      <c r="F549" s="15"/>
      <c r="G549" s="117"/>
      <c r="H549" s="220"/>
      <c r="J549" s="9"/>
    </row>
    <row r="550" spans="1:10" s="10" customFormat="1" x14ac:dyDescent="0.2">
      <c r="A550" s="165"/>
      <c r="B550" s="165"/>
      <c r="C550" s="16"/>
      <c r="D550" s="122"/>
      <c r="E550" s="122"/>
      <c r="F550" s="15"/>
      <c r="G550" s="117"/>
      <c r="H550" s="220"/>
      <c r="J550" s="9"/>
    </row>
    <row r="551" spans="1:10" s="10" customFormat="1" x14ac:dyDescent="0.2">
      <c r="A551" s="165"/>
      <c r="B551" s="165"/>
      <c r="C551" s="16"/>
      <c r="D551" s="122"/>
      <c r="E551" s="122"/>
      <c r="F551" s="15"/>
      <c r="G551" s="117"/>
      <c r="H551" s="220"/>
      <c r="J551" s="9"/>
    </row>
    <row r="552" spans="1:10" s="10" customFormat="1" x14ac:dyDescent="0.2">
      <c r="A552" s="165"/>
      <c r="B552" s="165"/>
      <c r="C552" s="16"/>
      <c r="D552" s="122"/>
      <c r="E552" s="122"/>
      <c r="F552" s="15"/>
      <c r="G552" s="117"/>
      <c r="H552" s="220"/>
      <c r="J552" s="9"/>
    </row>
    <row r="553" spans="1:10" s="10" customFormat="1" x14ac:dyDescent="0.2">
      <c r="A553" s="165"/>
      <c r="B553" s="165"/>
      <c r="C553" s="16"/>
      <c r="D553" s="122"/>
      <c r="E553" s="122"/>
      <c r="F553" s="15"/>
      <c r="G553" s="117"/>
      <c r="H553" s="220"/>
      <c r="J553" s="9"/>
    </row>
    <row r="554" spans="1:10" s="10" customFormat="1" x14ac:dyDescent="0.2">
      <c r="A554" s="165"/>
      <c r="B554" s="165"/>
      <c r="C554" s="16"/>
      <c r="D554" s="122"/>
      <c r="E554" s="122"/>
      <c r="F554" s="15"/>
      <c r="G554" s="117"/>
      <c r="H554" s="220"/>
      <c r="J554" s="9"/>
    </row>
    <row r="555" spans="1:10" s="10" customFormat="1" x14ac:dyDescent="0.2">
      <c r="A555" s="165"/>
      <c r="B555" s="165"/>
      <c r="C555" s="16"/>
      <c r="D555" s="122"/>
      <c r="E555" s="122"/>
      <c r="F555" s="15"/>
      <c r="G555" s="117"/>
      <c r="H555" s="220"/>
      <c r="J555" s="9"/>
    </row>
    <row r="556" spans="1:10" s="10" customFormat="1" x14ac:dyDescent="0.2">
      <c r="A556" s="165"/>
      <c r="B556" s="165"/>
      <c r="C556" s="16"/>
      <c r="D556" s="122"/>
      <c r="E556" s="122"/>
      <c r="F556" s="15"/>
      <c r="G556" s="117"/>
      <c r="H556" s="220"/>
      <c r="J556" s="9"/>
    </row>
    <row r="557" spans="1:10" s="10" customFormat="1" x14ac:dyDescent="0.2">
      <c r="A557" s="165"/>
      <c r="B557" s="165"/>
      <c r="C557" s="16"/>
      <c r="D557" s="122"/>
      <c r="E557" s="122"/>
      <c r="F557" s="15"/>
      <c r="G557" s="117"/>
      <c r="H557" s="220"/>
      <c r="J557" s="9"/>
    </row>
    <row r="558" spans="1:10" s="10" customFormat="1" x14ac:dyDescent="0.2">
      <c r="A558" s="165"/>
      <c r="B558" s="165"/>
      <c r="C558" s="16"/>
      <c r="D558" s="122"/>
      <c r="E558" s="122"/>
      <c r="F558" s="15"/>
      <c r="G558" s="117"/>
      <c r="H558" s="220"/>
      <c r="J558" s="9"/>
    </row>
    <row r="559" spans="1:10" s="10" customFormat="1" x14ac:dyDescent="0.2">
      <c r="A559" s="165"/>
      <c r="B559" s="165"/>
      <c r="C559" s="16"/>
      <c r="D559" s="122"/>
      <c r="E559" s="122"/>
      <c r="F559" s="15"/>
      <c r="G559" s="117"/>
      <c r="H559" s="220"/>
      <c r="J559" s="9"/>
    </row>
    <row r="560" spans="1:10" s="10" customFormat="1" x14ac:dyDescent="0.2">
      <c r="A560" s="165"/>
      <c r="B560" s="165"/>
      <c r="C560" s="16"/>
      <c r="D560" s="122"/>
      <c r="E560" s="122"/>
      <c r="F560" s="15"/>
      <c r="G560" s="117"/>
      <c r="H560" s="220"/>
      <c r="J560" s="9"/>
    </row>
    <row r="561" spans="1:10" s="10" customFormat="1" x14ac:dyDescent="0.2">
      <c r="A561" s="165"/>
      <c r="B561" s="165"/>
      <c r="C561" s="16"/>
      <c r="D561" s="122"/>
      <c r="E561" s="122"/>
      <c r="F561" s="15"/>
      <c r="G561" s="117"/>
      <c r="H561" s="220"/>
      <c r="J561" s="9"/>
    </row>
    <row r="562" spans="1:10" s="10" customFormat="1" x14ac:dyDescent="0.2">
      <c r="A562" s="165"/>
      <c r="B562" s="165"/>
      <c r="C562" s="16"/>
      <c r="D562" s="122"/>
      <c r="E562" s="122"/>
      <c r="F562" s="15"/>
      <c r="G562" s="117"/>
      <c r="H562" s="220"/>
      <c r="J562" s="9"/>
    </row>
    <row r="563" spans="1:10" s="10" customFormat="1" x14ac:dyDescent="0.2">
      <c r="A563" s="165"/>
      <c r="B563" s="165"/>
      <c r="C563" s="16"/>
      <c r="D563" s="122"/>
      <c r="E563" s="122"/>
      <c r="F563" s="15"/>
      <c r="G563" s="117"/>
      <c r="H563" s="220"/>
      <c r="J563" s="9"/>
    </row>
    <row r="564" spans="1:10" s="10" customFormat="1" x14ac:dyDescent="0.2">
      <c r="A564" s="165"/>
      <c r="B564" s="165"/>
      <c r="C564" s="16"/>
      <c r="D564" s="122"/>
      <c r="E564" s="122"/>
      <c r="F564" s="15"/>
      <c r="G564" s="117"/>
      <c r="H564" s="220"/>
      <c r="J564" s="9"/>
    </row>
    <row r="565" spans="1:10" s="10" customFormat="1" x14ac:dyDescent="0.2">
      <c r="A565" s="165"/>
      <c r="B565" s="165"/>
      <c r="C565" s="16"/>
      <c r="D565" s="122"/>
      <c r="E565" s="122"/>
      <c r="F565" s="15"/>
      <c r="G565" s="117"/>
      <c r="H565" s="220"/>
      <c r="J565" s="9"/>
    </row>
    <row r="566" spans="1:10" s="10" customFormat="1" x14ac:dyDescent="0.2">
      <c r="A566" s="165"/>
      <c r="B566" s="165"/>
      <c r="C566" s="16"/>
      <c r="D566" s="122"/>
      <c r="E566" s="122"/>
      <c r="F566" s="15"/>
      <c r="G566" s="117"/>
      <c r="H566" s="220"/>
      <c r="J566" s="9"/>
    </row>
    <row r="567" spans="1:10" s="10" customFormat="1" x14ac:dyDescent="0.2">
      <c r="A567" s="165"/>
      <c r="B567" s="165"/>
      <c r="C567" s="16"/>
      <c r="D567" s="122"/>
      <c r="E567" s="122"/>
      <c r="F567" s="15"/>
      <c r="G567" s="117"/>
      <c r="H567" s="220"/>
      <c r="J567" s="9"/>
    </row>
    <row r="568" spans="1:10" s="10" customFormat="1" x14ac:dyDescent="0.2">
      <c r="A568" s="165"/>
      <c r="B568" s="165"/>
      <c r="C568" s="16"/>
      <c r="D568" s="122"/>
      <c r="E568" s="122"/>
      <c r="F568" s="15"/>
      <c r="G568" s="117"/>
      <c r="H568" s="220"/>
      <c r="J568" s="9"/>
    </row>
    <row r="569" spans="1:10" s="10" customFormat="1" x14ac:dyDescent="0.2">
      <c r="A569" s="165"/>
      <c r="B569" s="165"/>
      <c r="C569" s="16"/>
      <c r="D569" s="122"/>
      <c r="E569" s="122"/>
      <c r="F569" s="15"/>
      <c r="G569" s="117"/>
      <c r="H569" s="220"/>
      <c r="J569" s="9"/>
    </row>
    <row r="570" spans="1:10" s="10" customFormat="1" x14ac:dyDescent="0.2">
      <c r="A570" s="165"/>
      <c r="B570" s="165"/>
      <c r="C570" s="16"/>
      <c r="D570" s="122"/>
      <c r="E570" s="122"/>
      <c r="F570" s="15"/>
      <c r="G570" s="117"/>
      <c r="H570" s="220"/>
      <c r="J570" s="9"/>
    </row>
    <row r="571" spans="1:10" s="10" customFormat="1" x14ac:dyDescent="0.2">
      <c r="A571" s="165"/>
      <c r="B571" s="165"/>
      <c r="C571" s="16"/>
      <c r="D571" s="122"/>
      <c r="E571" s="122"/>
      <c r="F571" s="15"/>
      <c r="G571" s="117"/>
      <c r="H571" s="220"/>
      <c r="J571" s="9"/>
    </row>
    <row r="572" spans="1:10" s="10" customFormat="1" x14ac:dyDescent="0.2">
      <c r="A572" s="165"/>
      <c r="B572" s="165"/>
      <c r="C572" s="16"/>
      <c r="D572" s="122"/>
      <c r="E572" s="122"/>
      <c r="F572" s="15"/>
      <c r="G572" s="117"/>
      <c r="H572" s="220"/>
      <c r="J572" s="9"/>
    </row>
    <row r="573" spans="1:10" s="10" customFormat="1" x14ac:dyDescent="0.2">
      <c r="A573" s="165"/>
      <c r="B573" s="165"/>
      <c r="C573" s="16"/>
      <c r="D573" s="122"/>
      <c r="E573" s="122"/>
      <c r="F573" s="15"/>
      <c r="G573" s="117"/>
      <c r="H573" s="220"/>
      <c r="J573" s="9"/>
    </row>
    <row r="574" spans="1:10" s="10" customFormat="1" x14ac:dyDescent="0.2">
      <c r="A574" s="165"/>
      <c r="B574" s="165"/>
      <c r="C574" s="16"/>
      <c r="D574" s="122"/>
      <c r="E574" s="122"/>
      <c r="F574" s="15"/>
      <c r="G574" s="117"/>
      <c r="H574" s="220"/>
      <c r="J574" s="9"/>
    </row>
    <row r="575" spans="1:10" s="10" customFormat="1" x14ac:dyDescent="0.2">
      <c r="A575" s="165"/>
      <c r="B575" s="165"/>
      <c r="C575" s="16"/>
      <c r="D575" s="122"/>
      <c r="E575" s="122"/>
      <c r="F575" s="15"/>
      <c r="G575" s="117"/>
      <c r="H575" s="220"/>
      <c r="J575" s="9"/>
    </row>
    <row r="576" spans="1:10" s="10" customFormat="1" x14ac:dyDescent="0.2">
      <c r="A576" s="165"/>
      <c r="B576" s="165"/>
      <c r="C576" s="16"/>
      <c r="D576" s="122"/>
      <c r="E576" s="122"/>
      <c r="F576" s="15"/>
      <c r="G576" s="117"/>
      <c r="H576" s="220"/>
      <c r="J576" s="9"/>
    </row>
    <row r="577" spans="1:10" s="10" customFormat="1" x14ac:dyDescent="0.2">
      <c r="A577" s="165"/>
      <c r="B577" s="165"/>
      <c r="C577" s="16"/>
      <c r="D577" s="122"/>
      <c r="E577" s="122"/>
      <c r="F577" s="15"/>
      <c r="G577" s="117"/>
      <c r="H577" s="220"/>
      <c r="J577" s="9"/>
    </row>
    <row r="578" spans="1:10" s="10" customFormat="1" x14ac:dyDescent="0.2">
      <c r="A578" s="165"/>
      <c r="B578" s="165"/>
      <c r="C578" s="16"/>
      <c r="D578" s="122"/>
      <c r="E578" s="122"/>
      <c r="F578" s="15"/>
      <c r="G578" s="117"/>
      <c r="H578" s="220"/>
      <c r="J578" s="9"/>
    </row>
    <row r="579" spans="1:10" s="10" customFormat="1" x14ac:dyDescent="0.2">
      <c r="A579" s="165"/>
      <c r="B579" s="165"/>
      <c r="C579" s="16"/>
      <c r="D579" s="122"/>
      <c r="E579" s="122"/>
      <c r="F579" s="15"/>
      <c r="G579" s="117"/>
      <c r="H579" s="220"/>
      <c r="J579" s="9"/>
    </row>
    <row r="580" spans="1:10" s="10" customFormat="1" x14ac:dyDescent="0.2">
      <c r="A580" s="165"/>
      <c r="B580" s="165"/>
      <c r="C580" s="16"/>
      <c r="D580" s="122"/>
      <c r="E580" s="122"/>
      <c r="F580" s="15"/>
      <c r="G580" s="117"/>
      <c r="H580" s="220"/>
      <c r="J580" s="9"/>
    </row>
    <row r="581" spans="1:10" s="10" customFormat="1" x14ac:dyDescent="0.2">
      <c r="A581" s="165"/>
      <c r="B581" s="165"/>
      <c r="C581" s="16"/>
      <c r="D581" s="122"/>
      <c r="E581" s="122"/>
      <c r="F581" s="15"/>
      <c r="G581" s="117"/>
      <c r="H581" s="220"/>
      <c r="J581" s="9"/>
    </row>
    <row r="582" spans="1:10" s="10" customFormat="1" x14ac:dyDescent="0.2">
      <c r="A582" s="165"/>
      <c r="B582" s="165"/>
      <c r="C582" s="16"/>
      <c r="D582" s="122"/>
      <c r="E582" s="122"/>
      <c r="F582" s="15"/>
      <c r="G582" s="117"/>
      <c r="H582" s="220"/>
      <c r="J582" s="9"/>
    </row>
    <row r="583" spans="1:10" s="10" customFormat="1" x14ac:dyDescent="0.2">
      <c r="A583" s="165"/>
      <c r="B583" s="165"/>
      <c r="C583" s="16"/>
      <c r="D583" s="122"/>
      <c r="E583" s="122"/>
      <c r="F583" s="15"/>
      <c r="G583" s="117"/>
      <c r="H583" s="220"/>
      <c r="J583" s="9"/>
    </row>
    <row r="584" spans="1:10" s="10" customFormat="1" x14ac:dyDescent="0.2">
      <c r="A584" s="165"/>
      <c r="B584" s="165"/>
      <c r="C584" s="16"/>
      <c r="D584" s="122"/>
      <c r="E584" s="122"/>
      <c r="F584" s="15"/>
      <c r="G584" s="117"/>
      <c r="H584" s="220"/>
      <c r="J584" s="9"/>
    </row>
    <row r="585" spans="1:10" s="10" customFormat="1" x14ac:dyDescent="0.2">
      <c r="A585" s="165"/>
      <c r="B585" s="165"/>
      <c r="C585" s="16"/>
      <c r="D585" s="122"/>
      <c r="E585" s="122"/>
      <c r="F585" s="15"/>
      <c r="G585" s="117"/>
      <c r="H585" s="220"/>
      <c r="J585" s="9"/>
    </row>
    <row r="586" spans="1:10" s="10" customFormat="1" x14ac:dyDescent="0.2">
      <c r="A586" s="165"/>
      <c r="B586" s="165"/>
      <c r="C586" s="16"/>
      <c r="D586" s="122"/>
      <c r="E586" s="122"/>
      <c r="F586" s="15"/>
      <c r="G586" s="117"/>
      <c r="H586" s="220"/>
      <c r="J586" s="9"/>
    </row>
    <row r="587" spans="1:10" s="10" customFormat="1" x14ac:dyDescent="0.2">
      <c r="A587" s="165"/>
      <c r="B587" s="165"/>
      <c r="C587" s="16"/>
      <c r="D587" s="122"/>
      <c r="E587" s="122"/>
      <c r="F587" s="15"/>
      <c r="G587" s="117"/>
      <c r="H587" s="220"/>
      <c r="J587" s="9"/>
    </row>
    <row r="588" spans="1:10" s="10" customFormat="1" x14ac:dyDescent="0.2">
      <c r="A588" s="165"/>
      <c r="B588" s="165"/>
      <c r="C588" s="16"/>
      <c r="D588" s="122"/>
      <c r="E588" s="122"/>
      <c r="F588" s="15"/>
      <c r="G588" s="117"/>
      <c r="H588" s="220"/>
      <c r="J588" s="9"/>
    </row>
    <row r="589" spans="1:10" s="10" customFormat="1" x14ac:dyDescent="0.2">
      <c r="A589" s="165"/>
      <c r="B589" s="165"/>
      <c r="C589" s="16"/>
      <c r="D589" s="122"/>
      <c r="E589" s="122"/>
      <c r="F589" s="15"/>
      <c r="G589" s="117"/>
      <c r="H589" s="220"/>
      <c r="J589" s="9"/>
    </row>
    <row r="590" spans="1:10" s="10" customFormat="1" x14ac:dyDescent="0.2">
      <c r="A590" s="165"/>
      <c r="B590" s="165"/>
      <c r="C590" s="16"/>
      <c r="D590" s="122"/>
      <c r="E590" s="122"/>
      <c r="F590" s="15"/>
      <c r="G590" s="117"/>
      <c r="H590" s="220"/>
      <c r="J590" s="9"/>
    </row>
    <row r="591" spans="1:10" s="10" customFormat="1" x14ac:dyDescent="0.2">
      <c r="A591" s="165"/>
      <c r="B591" s="165"/>
      <c r="C591" s="16"/>
      <c r="D591" s="122"/>
      <c r="E591" s="122"/>
      <c r="F591" s="15"/>
      <c r="G591" s="117"/>
      <c r="H591" s="220"/>
      <c r="J591" s="9"/>
    </row>
    <row r="592" spans="1:10" s="10" customFormat="1" x14ac:dyDescent="0.2">
      <c r="A592" s="165"/>
      <c r="B592" s="165"/>
      <c r="C592" s="16"/>
      <c r="D592" s="122"/>
      <c r="E592" s="122"/>
      <c r="F592" s="15"/>
      <c r="G592" s="117"/>
      <c r="H592" s="220"/>
      <c r="J592" s="9"/>
    </row>
    <row r="593" spans="1:10" s="10" customFormat="1" x14ac:dyDescent="0.2">
      <c r="A593" s="165"/>
      <c r="B593" s="165"/>
      <c r="C593" s="16"/>
      <c r="D593" s="122"/>
      <c r="E593" s="122"/>
      <c r="F593" s="15"/>
      <c r="G593" s="117"/>
      <c r="H593" s="220"/>
      <c r="J593" s="9"/>
    </row>
    <row r="594" spans="1:10" s="10" customFormat="1" x14ac:dyDescent="0.2">
      <c r="A594" s="165"/>
      <c r="B594" s="165"/>
      <c r="C594" s="16"/>
      <c r="D594" s="122"/>
      <c r="E594" s="122"/>
      <c r="F594" s="15"/>
      <c r="G594" s="117"/>
      <c r="H594" s="220"/>
      <c r="J594" s="9"/>
    </row>
    <row r="595" spans="1:10" s="10" customFormat="1" x14ac:dyDescent="0.2">
      <c r="A595" s="165"/>
      <c r="B595" s="165"/>
      <c r="C595" s="16"/>
      <c r="D595" s="122"/>
      <c r="E595" s="122"/>
      <c r="F595" s="15"/>
      <c r="G595" s="117"/>
      <c r="H595" s="220"/>
      <c r="J595" s="9"/>
    </row>
    <row r="596" spans="1:10" s="10" customFormat="1" x14ac:dyDescent="0.2">
      <c r="A596" s="165"/>
      <c r="B596" s="165"/>
      <c r="C596" s="16"/>
      <c r="D596" s="122"/>
      <c r="E596" s="122"/>
      <c r="F596" s="15"/>
      <c r="G596" s="117"/>
      <c r="H596" s="220"/>
      <c r="J596" s="9"/>
    </row>
    <row r="597" spans="1:10" s="10" customFormat="1" x14ac:dyDescent="0.2">
      <c r="A597" s="165"/>
      <c r="B597" s="165"/>
      <c r="C597" s="16"/>
      <c r="D597" s="122"/>
      <c r="E597" s="122"/>
      <c r="F597" s="15"/>
      <c r="G597" s="117"/>
      <c r="H597" s="220"/>
      <c r="J597" s="9"/>
    </row>
    <row r="598" spans="1:10" s="10" customFormat="1" x14ac:dyDescent="0.2">
      <c r="A598" s="165"/>
      <c r="B598" s="165"/>
      <c r="C598" s="16"/>
      <c r="D598" s="122"/>
      <c r="E598" s="122"/>
      <c r="F598" s="15"/>
      <c r="G598" s="117"/>
      <c r="H598" s="220"/>
      <c r="J598" s="9"/>
    </row>
    <row r="599" spans="1:10" s="10" customFormat="1" x14ac:dyDescent="0.2">
      <c r="A599" s="165"/>
      <c r="B599" s="165"/>
      <c r="C599" s="16"/>
      <c r="D599" s="122"/>
      <c r="E599" s="122"/>
      <c r="F599" s="15"/>
      <c r="G599" s="117"/>
      <c r="H599" s="220"/>
      <c r="J599" s="9"/>
    </row>
    <row r="600" spans="1:10" s="10" customFormat="1" x14ac:dyDescent="0.2">
      <c r="A600" s="165"/>
      <c r="B600" s="165"/>
      <c r="C600" s="16"/>
      <c r="D600" s="122"/>
      <c r="E600" s="122"/>
      <c r="F600" s="15"/>
      <c r="G600" s="117"/>
      <c r="H600" s="220"/>
      <c r="J600" s="9"/>
    </row>
    <row r="601" spans="1:10" s="10" customFormat="1" x14ac:dyDescent="0.2">
      <c r="A601" s="165"/>
      <c r="B601" s="165"/>
      <c r="C601" s="16"/>
      <c r="D601" s="122"/>
      <c r="E601" s="122"/>
      <c r="F601" s="15"/>
      <c r="G601" s="117"/>
      <c r="H601" s="220"/>
      <c r="J601" s="9"/>
    </row>
    <row r="602" spans="1:10" s="10" customFormat="1" x14ac:dyDescent="0.2">
      <c r="A602" s="165"/>
      <c r="B602" s="165"/>
      <c r="C602" s="16"/>
      <c r="D602" s="122"/>
      <c r="E602" s="122"/>
      <c r="F602" s="15"/>
      <c r="G602" s="117"/>
      <c r="H602" s="220"/>
      <c r="J602" s="9"/>
    </row>
    <row r="603" spans="1:10" s="10" customFormat="1" x14ac:dyDescent="0.2">
      <c r="A603" s="165"/>
      <c r="B603" s="165"/>
      <c r="C603" s="16"/>
      <c r="D603" s="122"/>
      <c r="E603" s="122"/>
      <c r="F603" s="15"/>
      <c r="G603" s="117"/>
      <c r="H603" s="220"/>
      <c r="J603" s="9"/>
    </row>
    <row r="604" spans="1:10" s="10" customFormat="1" x14ac:dyDescent="0.2">
      <c r="A604" s="165"/>
      <c r="B604" s="165"/>
      <c r="C604" s="16"/>
      <c r="D604" s="122"/>
      <c r="E604" s="122"/>
      <c r="F604" s="15"/>
      <c r="G604" s="117"/>
      <c r="H604" s="220"/>
      <c r="J604" s="9"/>
    </row>
    <row r="605" spans="1:10" s="10" customFormat="1" x14ac:dyDescent="0.2">
      <c r="A605" s="165"/>
      <c r="B605" s="165"/>
      <c r="C605" s="16"/>
      <c r="D605" s="122"/>
      <c r="E605" s="122"/>
      <c r="F605" s="15"/>
      <c r="G605" s="117"/>
      <c r="H605" s="220"/>
      <c r="J605" s="9"/>
    </row>
    <row r="606" spans="1:10" s="10" customFormat="1" x14ac:dyDescent="0.2">
      <c r="A606" s="165"/>
      <c r="B606" s="165"/>
      <c r="C606" s="16"/>
      <c r="D606" s="122"/>
      <c r="E606" s="122"/>
      <c r="F606" s="15"/>
      <c r="G606" s="117"/>
      <c r="H606" s="220"/>
      <c r="J606" s="9"/>
    </row>
    <row r="607" spans="1:10" s="10" customFormat="1" x14ac:dyDescent="0.2">
      <c r="A607" s="165"/>
      <c r="B607" s="165"/>
      <c r="C607" s="16"/>
      <c r="D607" s="122"/>
      <c r="E607" s="122"/>
      <c r="F607" s="15"/>
      <c r="G607" s="117"/>
      <c r="H607" s="220"/>
      <c r="J607" s="9"/>
    </row>
    <row r="608" spans="1:10" s="10" customFormat="1" x14ac:dyDescent="0.2">
      <c r="A608" s="165"/>
      <c r="B608" s="165"/>
      <c r="C608" s="16"/>
      <c r="D608" s="122"/>
      <c r="E608" s="122"/>
      <c r="F608" s="15"/>
      <c r="G608" s="117"/>
      <c r="H608" s="220"/>
      <c r="J608" s="9"/>
    </row>
    <row r="609" spans="1:10" s="10" customFormat="1" x14ac:dyDescent="0.2">
      <c r="A609" s="165"/>
      <c r="B609" s="165"/>
      <c r="C609" s="16"/>
      <c r="D609" s="122"/>
      <c r="E609" s="122"/>
      <c r="F609" s="15"/>
      <c r="G609" s="117"/>
      <c r="H609" s="220"/>
      <c r="J609" s="9"/>
    </row>
    <row r="610" spans="1:10" s="10" customFormat="1" x14ac:dyDescent="0.2">
      <c r="A610" s="165"/>
      <c r="B610" s="165"/>
      <c r="C610" s="16"/>
      <c r="D610" s="122"/>
      <c r="E610" s="122"/>
      <c r="F610" s="15"/>
      <c r="G610" s="117"/>
      <c r="H610" s="220"/>
      <c r="J610" s="9"/>
    </row>
    <row r="611" spans="1:10" s="10" customFormat="1" x14ac:dyDescent="0.2">
      <c r="A611" s="165"/>
      <c r="B611" s="165"/>
      <c r="C611" s="16"/>
      <c r="D611" s="122"/>
      <c r="E611" s="122"/>
      <c r="F611" s="15"/>
      <c r="G611" s="117"/>
      <c r="H611" s="220"/>
      <c r="J611" s="9"/>
    </row>
    <row r="612" spans="1:10" s="10" customFormat="1" x14ac:dyDescent="0.2">
      <c r="A612" s="165"/>
      <c r="B612" s="165"/>
      <c r="C612" s="16"/>
      <c r="D612" s="122"/>
      <c r="E612" s="122"/>
      <c r="F612" s="15"/>
      <c r="G612" s="117"/>
      <c r="H612" s="220"/>
      <c r="J612" s="9"/>
    </row>
    <row r="613" spans="1:10" s="10" customFormat="1" x14ac:dyDescent="0.2">
      <c r="A613" s="165"/>
      <c r="B613" s="165"/>
      <c r="C613" s="16"/>
      <c r="D613" s="122"/>
      <c r="E613" s="122"/>
      <c r="F613" s="15"/>
      <c r="G613" s="117"/>
      <c r="H613" s="220"/>
      <c r="J613" s="9"/>
    </row>
    <row r="614" spans="1:10" s="10" customFormat="1" x14ac:dyDescent="0.2">
      <c r="A614" s="165"/>
      <c r="B614" s="165"/>
      <c r="C614" s="16"/>
      <c r="D614" s="122"/>
      <c r="E614" s="122"/>
      <c r="F614" s="15"/>
      <c r="G614" s="117"/>
      <c r="H614" s="220"/>
      <c r="J614" s="9"/>
    </row>
    <row r="615" spans="1:10" s="10" customFormat="1" x14ac:dyDescent="0.2">
      <c r="A615" s="165"/>
      <c r="B615" s="165"/>
      <c r="C615" s="16"/>
      <c r="D615" s="122"/>
      <c r="E615" s="122"/>
      <c r="F615" s="15"/>
      <c r="G615" s="117"/>
      <c r="H615" s="220"/>
      <c r="J615" s="9"/>
    </row>
    <row r="616" spans="1:10" s="10" customFormat="1" x14ac:dyDescent="0.2">
      <c r="A616" s="165"/>
      <c r="B616" s="165"/>
      <c r="C616" s="16"/>
      <c r="D616" s="122"/>
      <c r="E616" s="122"/>
      <c r="F616" s="15"/>
      <c r="G616" s="117"/>
      <c r="H616" s="220"/>
      <c r="J616" s="9"/>
    </row>
    <row r="617" spans="1:10" s="10" customFormat="1" x14ac:dyDescent="0.2">
      <c r="A617" s="165"/>
      <c r="B617" s="165"/>
      <c r="C617" s="16"/>
      <c r="D617" s="122"/>
      <c r="E617" s="122"/>
      <c r="F617" s="15"/>
      <c r="G617" s="117"/>
      <c r="H617" s="220"/>
      <c r="J617" s="9"/>
    </row>
    <row r="618" spans="1:10" s="10" customFormat="1" x14ac:dyDescent="0.2">
      <c r="A618" s="165"/>
      <c r="B618" s="165"/>
      <c r="C618" s="16"/>
      <c r="D618" s="122"/>
      <c r="E618" s="122"/>
      <c r="F618" s="15"/>
      <c r="G618" s="117"/>
      <c r="H618" s="220"/>
      <c r="J618" s="9"/>
    </row>
    <row r="619" spans="1:10" s="10" customFormat="1" x14ac:dyDescent="0.2">
      <c r="A619" s="165"/>
      <c r="B619" s="165"/>
      <c r="C619" s="16"/>
      <c r="D619" s="122"/>
      <c r="E619" s="122"/>
      <c r="F619" s="15"/>
      <c r="G619" s="117"/>
      <c r="H619" s="220"/>
      <c r="J619" s="9"/>
    </row>
    <row r="620" spans="1:10" s="10" customFormat="1" x14ac:dyDescent="0.2">
      <c r="A620" s="165"/>
      <c r="B620" s="165"/>
      <c r="C620" s="16"/>
      <c r="D620" s="122"/>
      <c r="E620" s="122"/>
      <c r="F620" s="15"/>
      <c r="G620" s="117"/>
      <c r="H620" s="220"/>
      <c r="J620" s="9"/>
    </row>
    <row r="621" spans="1:10" s="10" customFormat="1" x14ac:dyDescent="0.2">
      <c r="A621" s="165"/>
      <c r="B621" s="165"/>
      <c r="C621" s="16"/>
      <c r="D621" s="122"/>
      <c r="E621" s="122"/>
      <c r="F621" s="15"/>
      <c r="G621" s="117"/>
      <c r="H621" s="220"/>
      <c r="J621" s="9"/>
    </row>
    <row r="622" spans="1:10" s="10" customFormat="1" x14ac:dyDescent="0.2">
      <c r="A622" s="165"/>
      <c r="B622" s="165"/>
      <c r="C622" s="16"/>
      <c r="D622" s="122"/>
      <c r="E622" s="122"/>
      <c r="F622" s="15"/>
      <c r="G622" s="117"/>
      <c r="H622" s="220"/>
      <c r="J622" s="9"/>
    </row>
    <row r="623" spans="1:10" s="10" customFormat="1" x14ac:dyDescent="0.2">
      <c r="A623" s="165"/>
      <c r="B623" s="165"/>
      <c r="C623" s="16"/>
      <c r="D623" s="122"/>
      <c r="E623" s="122"/>
      <c r="F623" s="15"/>
      <c r="G623" s="117"/>
      <c r="H623" s="220"/>
      <c r="J623" s="9"/>
    </row>
    <row r="624" spans="1:10" s="10" customFormat="1" x14ac:dyDescent="0.2">
      <c r="A624" s="165"/>
      <c r="B624" s="165"/>
      <c r="C624" s="16"/>
      <c r="D624" s="122"/>
      <c r="E624" s="122"/>
      <c r="F624" s="15"/>
      <c r="G624" s="117"/>
      <c r="H624" s="220"/>
      <c r="J624" s="9"/>
    </row>
    <row r="625" spans="1:10" s="10" customFormat="1" x14ac:dyDescent="0.2">
      <c r="A625" s="165"/>
      <c r="B625" s="165"/>
      <c r="C625" s="16"/>
      <c r="D625" s="122"/>
      <c r="E625" s="122"/>
      <c r="F625" s="15"/>
      <c r="G625" s="117"/>
      <c r="H625" s="220"/>
      <c r="J625" s="9"/>
    </row>
    <row r="626" spans="1:10" s="10" customFormat="1" x14ac:dyDescent="0.2">
      <c r="A626" s="165"/>
      <c r="B626" s="165"/>
      <c r="C626" s="16"/>
      <c r="D626" s="122"/>
      <c r="E626" s="122"/>
      <c r="F626" s="15"/>
      <c r="G626" s="117"/>
      <c r="H626" s="220"/>
      <c r="J626" s="9"/>
    </row>
    <row r="627" spans="1:10" s="10" customFormat="1" x14ac:dyDescent="0.2">
      <c r="A627" s="165"/>
      <c r="B627" s="165"/>
      <c r="C627" s="16"/>
      <c r="D627" s="122"/>
      <c r="E627" s="122"/>
      <c r="F627" s="15"/>
      <c r="G627" s="117"/>
      <c r="H627" s="220"/>
      <c r="J627" s="9"/>
    </row>
    <row r="628" spans="1:10" s="10" customFormat="1" x14ac:dyDescent="0.2">
      <c r="A628" s="165"/>
      <c r="B628" s="165"/>
      <c r="C628" s="16"/>
      <c r="D628" s="122"/>
      <c r="E628" s="122"/>
      <c r="F628" s="15"/>
      <c r="G628" s="117"/>
      <c r="H628" s="220"/>
      <c r="J628" s="9"/>
    </row>
    <row r="629" spans="1:10" s="10" customFormat="1" x14ac:dyDescent="0.2">
      <c r="A629" s="165"/>
      <c r="B629" s="165"/>
      <c r="C629" s="16"/>
      <c r="D629" s="122"/>
      <c r="E629" s="122"/>
      <c r="F629" s="15"/>
      <c r="G629" s="117"/>
      <c r="H629" s="220"/>
      <c r="J629" s="9"/>
    </row>
    <row r="630" spans="1:10" s="10" customFormat="1" x14ac:dyDescent="0.2">
      <c r="A630" s="165"/>
      <c r="B630" s="165"/>
      <c r="C630" s="16"/>
      <c r="D630" s="122"/>
      <c r="E630" s="122"/>
      <c r="F630" s="15"/>
      <c r="G630" s="117"/>
      <c r="H630" s="220"/>
      <c r="J630" s="9"/>
    </row>
    <row r="631" spans="1:10" s="10" customFormat="1" x14ac:dyDescent="0.2">
      <c r="A631" s="165"/>
      <c r="B631" s="165"/>
      <c r="C631" s="16"/>
      <c r="D631" s="122"/>
      <c r="E631" s="122"/>
      <c r="F631" s="15"/>
      <c r="G631" s="117"/>
      <c r="H631" s="220"/>
      <c r="J631" s="9"/>
    </row>
    <row r="632" spans="1:10" s="10" customFormat="1" x14ac:dyDescent="0.2">
      <c r="A632" s="165"/>
      <c r="B632" s="165"/>
      <c r="C632" s="16"/>
      <c r="D632" s="122"/>
      <c r="E632" s="122"/>
      <c r="F632" s="15"/>
      <c r="G632" s="117"/>
      <c r="H632" s="220"/>
      <c r="J632" s="9"/>
    </row>
    <row r="633" spans="1:10" s="10" customFormat="1" x14ac:dyDescent="0.2">
      <c r="A633" s="165"/>
      <c r="B633" s="165"/>
      <c r="C633" s="16"/>
      <c r="D633" s="122"/>
      <c r="E633" s="122"/>
      <c r="F633" s="15"/>
      <c r="G633" s="117"/>
      <c r="H633" s="220"/>
      <c r="J633" s="9"/>
    </row>
    <row r="634" spans="1:10" s="10" customFormat="1" x14ac:dyDescent="0.2">
      <c r="A634" s="165"/>
      <c r="B634" s="165"/>
      <c r="C634" s="16"/>
      <c r="D634" s="122"/>
      <c r="E634" s="122"/>
      <c r="F634" s="15"/>
      <c r="G634" s="117"/>
      <c r="H634" s="220"/>
      <c r="J634" s="9"/>
    </row>
    <row r="635" spans="1:10" s="10" customFormat="1" x14ac:dyDescent="0.2">
      <c r="A635" s="165"/>
      <c r="B635" s="165"/>
      <c r="C635" s="16"/>
      <c r="D635" s="122"/>
      <c r="E635" s="122"/>
      <c r="F635" s="15"/>
      <c r="G635" s="117"/>
      <c r="H635" s="220"/>
      <c r="J635" s="9"/>
    </row>
    <row r="636" spans="1:10" s="10" customFormat="1" x14ac:dyDescent="0.2">
      <c r="A636" s="165"/>
      <c r="B636" s="165"/>
      <c r="C636" s="16"/>
      <c r="D636" s="122"/>
      <c r="E636" s="122"/>
      <c r="F636" s="15"/>
      <c r="G636" s="117"/>
      <c r="H636" s="220"/>
      <c r="J636" s="9"/>
    </row>
    <row r="637" spans="1:10" s="10" customFormat="1" x14ac:dyDescent="0.2">
      <c r="A637" s="165"/>
      <c r="B637" s="165"/>
      <c r="C637" s="16"/>
      <c r="D637" s="122"/>
      <c r="E637" s="122"/>
      <c r="F637" s="15"/>
      <c r="G637" s="117"/>
      <c r="H637" s="220"/>
      <c r="J637" s="9"/>
    </row>
    <row r="638" spans="1:10" s="10" customFormat="1" x14ac:dyDescent="0.2">
      <c r="A638" s="165"/>
      <c r="B638" s="165"/>
      <c r="C638" s="16"/>
      <c r="D638" s="122"/>
      <c r="E638" s="122"/>
      <c r="F638" s="15"/>
      <c r="G638" s="117"/>
      <c r="H638" s="220"/>
      <c r="J638" s="9"/>
    </row>
    <row r="639" spans="1:10" s="10" customFormat="1" x14ac:dyDescent="0.2">
      <c r="A639" s="165"/>
      <c r="B639" s="165"/>
      <c r="C639" s="16"/>
      <c r="D639" s="122"/>
      <c r="E639" s="122"/>
      <c r="F639" s="15"/>
      <c r="G639" s="117"/>
      <c r="H639" s="220"/>
      <c r="J639" s="9"/>
    </row>
    <row r="640" spans="1:10" s="10" customFormat="1" x14ac:dyDescent="0.2">
      <c r="A640" s="165"/>
      <c r="B640" s="165"/>
      <c r="C640" s="16"/>
      <c r="D640" s="122"/>
      <c r="E640" s="122"/>
      <c r="F640" s="15"/>
      <c r="G640" s="117"/>
      <c r="H640" s="220"/>
      <c r="J640" s="9"/>
    </row>
    <row r="641" spans="1:10" s="10" customFormat="1" x14ac:dyDescent="0.2">
      <c r="A641" s="165"/>
      <c r="B641" s="165"/>
      <c r="C641" s="16"/>
      <c r="D641" s="122"/>
      <c r="E641" s="122"/>
      <c r="F641" s="15"/>
      <c r="G641" s="117"/>
      <c r="H641" s="220"/>
      <c r="J641" s="9"/>
    </row>
    <row r="642" spans="1:10" s="10" customFormat="1" x14ac:dyDescent="0.2">
      <c r="A642" s="165"/>
      <c r="B642" s="165"/>
      <c r="C642" s="16"/>
      <c r="D642" s="122"/>
      <c r="E642" s="122"/>
      <c r="F642" s="15"/>
      <c r="G642" s="117"/>
      <c r="H642" s="220"/>
      <c r="J642" s="9"/>
    </row>
    <row r="643" spans="1:10" s="10" customFormat="1" x14ac:dyDescent="0.2">
      <c r="A643" s="165"/>
      <c r="B643" s="165"/>
      <c r="C643" s="16"/>
      <c r="D643" s="122"/>
      <c r="E643" s="122"/>
      <c r="F643" s="15"/>
      <c r="G643" s="117"/>
      <c r="H643" s="220"/>
      <c r="J643" s="9"/>
    </row>
    <row r="644" spans="1:10" s="10" customFormat="1" x14ac:dyDescent="0.2">
      <c r="A644" s="165"/>
      <c r="B644" s="165"/>
      <c r="C644" s="16"/>
      <c r="D644" s="122"/>
      <c r="E644" s="122"/>
      <c r="F644" s="15"/>
      <c r="G644" s="117"/>
      <c r="H644" s="220"/>
      <c r="J644" s="9"/>
    </row>
    <row r="645" spans="1:10" s="10" customFormat="1" x14ac:dyDescent="0.2">
      <c r="A645" s="165"/>
      <c r="B645" s="165"/>
      <c r="C645" s="16"/>
      <c r="D645" s="122"/>
      <c r="E645" s="122"/>
      <c r="F645" s="15"/>
      <c r="G645" s="117"/>
      <c r="H645" s="220"/>
      <c r="J645" s="9"/>
    </row>
    <row r="646" spans="1:10" s="10" customFormat="1" x14ac:dyDescent="0.2">
      <c r="A646" s="165"/>
      <c r="B646" s="165"/>
      <c r="C646" s="16"/>
      <c r="D646" s="122"/>
      <c r="E646" s="122"/>
      <c r="F646" s="15"/>
      <c r="G646" s="117"/>
      <c r="H646" s="220"/>
      <c r="J646" s="9"/>
    </row>
    <row r="647" spans="1:10" s="10" customFormat="1" x14ac:dyDescent="0.2">
      <c r="A647" s="165"/>
      <c r="B647" s="165"/>
      <c r="C647" s="16"/>
      <c r="D647" s="122"/>
      <c r="E647" s="122"/>
      <c r="F647" s="15"/>
      <c r="G647" s="117"/>
      <c r="H647" s="220"/>
      <c r="J647" s="9"/>
    </row>
    <row r="648" spans="1:10" s="10" customFormat="1" x14ac:dyDescent="0.2">
      <c r="A648" s="165"/>
      <c r="B648" s="165"/>
      <c r="C648" s="16"/>
      <c r="D648" s="122"/>
      <c r="E648" s="122"/>
      <c r="F648" s="15"/>
      <c r="G648" s="117"/>
      <c r="H648" s="220"/>
      <c r="J648" s="9"/>
    </row>
    <row r="649" spans="1:10" s="10" customFormat="1" x14ac:dyDescent="0.2">
      <c r="A649" s="165"/>
      <c r="B649" s="165"/>
      <c r="C649" s="16"/>
      <c r="D649" s="122"/>
      <c r="E649" s="122"/>
      <c r="F649" s="15"/>
      <c r="G649" s="117"/>
      <c r="H649" s="220"/>
      <c r="J649" s="9"/>
    </row>
    <row r="650" spans="1:10" s="10" customFormat="1" x14ac:dyDescent="0.2">
      <c r="A650" s="165"/>
      <c r="B650" s="165"/>
      <c r="C650" s="16"/>
      <c r="D650" s="122"/>
      <c r="E650" s="122"/>
      <c r="F650" s="15"/>
      <c r="G650" s="117"/>
      <c r="H650" s="220"/>
      <c r="J650" s="9"/>
    </row>
    <row r="651" spans="1:10" s="10" customFormat="1" x14ac:dyDescent="0.2">
      <c r="A651" s="165"/>
      <c r="B651" s="165"/>
      <c r="C651" s="16"/>
      <c r="D651" s="122"/>
      <c r="E651" s="122"/>
      <c r="F651" s="15"/>
      <c r="G651" s="117"/>
      <c r="H651" s="220"/>
      <c r="J651" s="9"/>
    </row>
    <row r="652" spans="1:10" s="10" customFormat="1" x14ac:dyDescent="0.2">
      <c r="A652" s="165"/>
      <c r="B652" s="165"/>
      <c r="C652" s="16"/>
      <c r="D652" s="122"/>
      <c r="E652" s="122"/>
      <c r="F652" s="15"/>
      <c r="G652" s="117"/>
      <c r="H652" s="220"/>
      <c r="J652" s="9"/>
    </row>
    <row r="653" spans="1:10" s="10" customFormat="1" x14ac:dyDescent="0.2">
      <c r="A653" s="165"/>
      <c r="B653" s="165"/>
      <c r="C653" s="16"/>
      <c r="D653" s="122"/>
      <c r="E653" s="122"/>
      <c r="F653" s="15"/>
      <c r="G653" s="117"/>
      <c r="H653" s="220"/>
      <c r="J653" s="9"/>
    </row>
    <row r="654" spans="1:10" s="10" customFormat="1" x14ac:dyDescent="0.2">
      <c r="A654" s="165"/>
      <c r="B654" s="165"/>
      <c r="C654" s="16"/>
      <c r="D654" s="122"/>
      <c r="E654" s="122"/>
      <c r="F654" s="15"/>
      <c r="G654" s="117"/>
      <c r="H654" s="220"/>
      <c r="J654" s="9"/>
    </row>
    <row r="655" spans="1:10" s="10" customFormat="1" x14ac:dyDescent="0.2">
      <c r="A655" s="165"/>
      <c r="B655" s="165"/>
      <c r="C655" s="16"/>
      <c r="D655" s="122"/>
      <c r="E655" s="122"/>
      <c r="F655" s="15"/>
      <c r="G655" s="117"/>
      <c r="H655" s="220"/>
      <c r="J655" s="9"/>
    </row>
    <row r="656" spans="1:10" s="10" customFormat="1" x14ac:dyDescent="0.2">
      <c r="A656" s="165"/>
      <c r="B656" s="165"/>
      <c r="C656" s="16"/>
      <c r="D656" s="122"/>
      <c r="E656" s="122"/>
      <c r="F656" s="15"/>
      <c r="G656" s="117"/>
      <c r="H656" s="220"/>
      <c r="J656" s="9"/>
    </row>
    <row r="657" spans="1:10" s="10" customFormat="1" x14ac:dyDescent="0.2">
      <c r="A657" s="165"/>
      <c r="B657" s="165"/>
      <c r="C657" s="16"/>
      <c r="D657" s="122"/>
      <c r="E657" s="122"/>
      <c r="F657" s="15"/>
      <c r="G657" s="117"/>
      <c r="H657" s="220"/>
      <c r="J657" s="9"/>
    </row>
    <row r="658" spans="1:10" s="10" customFormat="1" x14ac:dyDescent="0.2">
      <c r="A658" s="165"/>
      <c r="B658" s="165"/>
      <c r="C658" s="16"/>
      <c r="D658" s="122"/>
      <c r="E658" s="122"/>
      <c r="F658" s="15"/>
      <c r="G658" s="117"/>
      <c r="H658" s="220"/>
      <c r="J658" s="9"/>
    </row>
    <row r="659" spans="1:10" s="10" customFormat="1" x14ac:dyDescent="0.2">
      <c r="A659" s="165"/>
      <c r="B659" s="165"/>
      <c r="C659" s="16"/>
      <c r="D659" s="122"/>
      <c r="E659" s="122"/>
      <c r="F659" s="15"/>
      <c r="G659" s="117"/>
      <c r="H659" s="220"/>
      <c r="J659" s="9"/>
    </row>
    <row r="660" spans="1:10" s="10" customFormat="1" x14ac:dyDescent="0.2">
      <c r="A660" s="165"/>
      <c r="B660" s="165"/>
      <c r="C660" s="16"/>
      <c r="D660" s="122"/>
      <c r="E660" s="122"/>
      <c r="F660" s="15"/>
      <c r="G660" s="117"/>
      <c r="H660" s="220"/>
      <c r="J660" s="9"/>
    </row>
    <row r="661" spans="1:10" s="10" customFormat="1" x14ac:dyDescent="0.2">
      <c r="A661" s="165"/>
      <c r="B661" s="165"/>
      <c r="C661" s="16"/>
      <c r="D661" s="122"/>
      <c r="E661" s="122"/>
      <c r="F661" s="15"/>
      <c r="G661" s="117"/>
      <c r="H661" s="220"/>
      <c r="J661" s="9"/>
    </row>
    <row r="662" spans="1:10" s="10" customFormat="1" x14ac:dyDescent="0.2">
      <c r="A662" s="165"/>
      <c r="B662" s="165"/>
      <c r="C662" s="16"/>
      <c r="D662" s="122"/>
      <c r="E662" s="122"/>
      <c r="F662" s="15"/>
      <c r="G662" s="117"/>
      <c r="H662" s="220"/>
      <c r="J662" s="9"/>
    </row>
    <row r="663" spans="1:10" s="10" customFormat="1" x14ac:dyDescent="0.2">
      <c r="A663" s="165"/>
      <c r="B663" s="165"/>
      <c r="C663" s="16"/>
      <c r="D663" s="122"/>
      <c r="E663" s="122"/>
      <c r="F663" s="15"/>
      <c r="G663" s="117"/>
      <c r="H663" s="220"/>
      <c r="J663" s="9"/>
    </row>
    <row r="664" spans="1:10" s="10" customFormat="1" x14ac:dyDescent="0.2">
      <c r="A664" s="165"/>
      <c r="B664" s="165"/>
      <c r="C664" s="16"/>
      <c r="D664" s="122"/>
      <c r="E664" s="122"/>
      <c r="F664" s="15"/>
      <c r="G664" s="117"/>
      <c r="H664" s="220"/>
      <c r="J664" s="9"/>
    </row>
    <row r="665" spans="1:10" s="10" customFormat="1" x14ac:dyDescent="0.2">
      <c r="A665" s="165"/>
      <c r="B665" s="165"/>
      <c r="C665" s="16"/>
      <c r="D665" s="122"/>
      <c r="E665" s="122"/>
      <c r="F665" s="15"/>
      <c r="G665" s="117"/>
      <c r="H665" s="220"/>
      <c r="J665" s="9"/>
    </row>
    <row r="666" spans="1:10" s="10" customFormat="1" x14ac:dyDescent="0.2">
      <c r="A666" s="165"/>
      <c r="B666" s="165"/>
      <c r="C666" s="16"/>
      <c r="D666" s="122"/>
      <c r="E666" s="122"/>
      <c r="F666" s="15"/>
      <c r="G666" s="117"/>
      <c r="H666" s="220"/>
      <c r="J666" s="9"/>
    </row>
    <row r="667" spans="1:10" s="10" customFormat="1" x14ac:dyDescent="0.2">
      <c r="A667" s="165"/>
      <c r="B667" s="165"/>
      <c r="C667" s="16"/>
      <c r="D667" s="122"/>
      <c r="E667" s="122"/>
      <c r="F667" s="15"/>
      <c r="G667" s="117"/>
      <c r="H667" s="220"/>
      <c r="J667" s="9"/>
    </row>
    <row r="668" spans="1:10" s="10" customFormat="1" x14ac:dyDescent="0.2">
      <c r="A668" s="165"/>
      <c r="B668" s="165"/>
      <c r="C668" s="16"/>
      <c r="D668" s="122"/>
      <c r="E668" s="122"/>
      <c r="F668" s="15"/>
      <c r="G668" s="117"/>
      <c r="H668" s="220"/>
      <c r="J668" s="9"/>
    </row>
    <row r="669" spans="1:10" s="10" customFormat="1" x14ac:dyDescent="0.2">
      <c r="A669" s="165"/>
      <c r="B669" s="165"/>
      <c r="C669" s="16"/>
      <c r="D669" s="122"/>
      <c r="E669" s="122"/>
      <c r="F669" s="15"/>
      <c r="G669" s="117"/>
      <c r="H669" s="220"/>
      <c r="J669" s="9"/>
    </row>
    <row r="670" spans="1:10" s="10" customFormat="1" x14ac:dyDescent="0.2">
      <c r="A670" s="165"/>
      <c r="B670" s="165"/>
      <c r="C670" s="16"/>
      <c r="D670" s="122"/>
      <c r="E670" s="122"/>
      <c r="F670" s="15"/>
      <c r="G670" s="117"/>
      <c r="H670" s="220"/>
      <c r="J670" s="9"/>
    </row>
    <row r="671" spans="1:10" s="10" customFormat="1" x14ac:dyDescent="0.2">
      <c r="A671" s="165"/>
      <c r="B671" s="165"/>
      <c r="C671" s="16"/>
      <c r="D671" s="122"/>
      <c r="E671" s="122"/>
      <c r="F671" s="15"/>
      <c r="G671" s="117"/>
      <c r="H671" s="220"/>
      <c r="J671" s="9"/>
    </row>
    <row r="672" spans="1:10" s="10" customFormat="1" x14ac:dyDescent="0.2">
      <c r="A672" s="165"/>
      <c r="B672" s="165"/>
      <c r="C672" s="16"/>
      <c r="D672" s="122"/>
      <c r="E672" s="122"/>
      <c r="F672" s="15"/>
      <c r="G672" s="117"/>
      <c r="H672" s="220"/>
      <c r="J672" s="9"/>
    </row>
    <row r="673" spans="1:10" s="10" customFormat="1" x14ac:dyDescent="0.2">
      <c r="A673" s="165"/>
      <c r="B673" s="165"/>
      <c r="C673" s="16"/>
      <c r="D673" s="122"/>
      <c r="E673" s="122"/>
      <c r="F673" s="15"/>
      <c r="G673" s="117"/>
      <c r="H673" s="220"/>
      <c r="J673" s="9"/>
    </row>
    <row r="674" spans="1:10" s="10" customFormat="1" x14ac:dyDescent="0.2">
      <c r="A674" s="165"/>
      <c r="B674" s="165"/>
      <c r="C674" s="16"/>
      <c r="D674" s="122"/>
      <c r="E674" s="122"/>
      <c r="F674" s="15"/>
      <c r="G674" s="117"/>
      <c r="H674" s="220"/>
      <c r="J674" s="9"/>
    </row>
    <row r="675" spans="1:10" s="10" customFormat="1" x14ac:dyDescent="0.2">
      <c r="A675" s="165"/>
      <c r="B675" s="165"/>
      <c r="C675" s="16"/>
      <c r="D675" s="122"/>
      <c r="E675" s="122"/>
      <c r="F675" s="15"/>
      <c r="G675" s="117"/>
      <c r="H675" s="220"/>
      <c r="J675" s="9"/>
    </row>
    <row r="676" spans="1:10" s="10" customFormat="1" x14ac:dyDescent="0.2">
      <c r="A676" s="165"/>
      <c r="B676" s="165"/>
      <c r="C676" s="16"/>
      <c r="D676" s="122"/>
      <c r="E676" s="122"/>
      <c r="F676" s="15"/>
      <c r="G676" s="117"/>
      <c r="H676" s="220"/>
      <c r="J676" s="9"/>
    </row>
    <row r="677" spans="1:10" s="10" customFormat="1" x14ac:dyDescent="0.2">
      <c r="A677" s="165"/>
      <c r="B677" s="165"/>
      <c r="C677" s="16"/>
      <c r="D677" s="122"/>
      <c r="E677" s="122"/>
      <c r="F677" s="15"/>
      <c r="G677" s="117"/>
      <c r="H677" s="220"/>
      <c r="J677" s="9"/>
    </row>
    <row r="678" spans="1:10" s="10" customFormat="1" x14ac:dyDescent="0.2">
      <c r="A678" s="165"/>
      <c r="B678" s="165"/>
      <c r="C678" s="16"/>
      <c r="D678" s="122"/>
      <c r="E678" s="122"/>
      <c r="F678" s="15"/>
      <c r="G678" s="117"/>
      <c r="H678" s="220"/>
      <c r="J678" s="9"/>
    </row>
    <row r="679" spans="1:10" s="10" customFormat="1" x14ac:dyDescent="0.2">
      <c r="A679" s="165"/>
      <c r="B679" s="165"/>
      <c r="C679" s="16"/>
      <c r="D679" s="122"/>
      <c r="E679" s="122"/>
      <c r="F679" s="15"/>
      <c r="G679" s="117"/>
      <c r="H679" s="220"/>
      <c r="J679" s="9"/>
    </row>
    <row r="680" spans="1:10" s="10" customFormat="1" x14ac:dyDescent="0.2">
      <c r="A680" s="165"/>
      <c r="B680" s="165"/>
      <c r="C680" s="16"/>
      <c r="D680" s="122"/>
      <c r="E680" s="122"/>
      <c r="F680" s="15"/>
      <c r="G680" s="117"/>
      <c r="H680" s="220"/>
      <c r="J680" s="9"/>
    </row>
    <row r="681" spans="1:10" s="10" customFormat="1" x14ac:dyDescent="0.2">
      <c r="A681" s="165"/>
      <c r="B681" s="165"/>
      <c r="C681" s="16"/>
      <c r="D681" s="122"/>
      <c r="E681" s="122"/>
      <c r="F681" s="15"/>
      <c r="G681" s="117"/>
      <c r="H681" s="220"/>
      <c r="J681" s="9"/>
    </row>
    <row r="682" spans="1:10" s="10" customFormat="1" x14ac:dyDescent="0.2">
      <c r="A682" s="165"/>
      <c r="B682" s="165"/>
      <c r="C682" s="16"/>
      <c r="D682" s="122"/>
      <c r="E682" s="122"/>
      <c r="F682" s="15"/>
      <c r="G682" s="117"/>
      <c r="H682" s="220"/>
      <c r="J682" s="9"/>
    </row>
    <row r="683" spans="1:10" s="10" customFormat="1" x14ac:dyDescent="0.2">
      <c r="A683" s="165"/>
      <c r="B683" s="165"/>
      <c r="C683" s="16"/>
      <c r="D683" s="122"/>
      <c r="E683" s="122"/>
      <c r="F683" s="15"/>
      <c r="G683" s="117"/>
      <c r="H683" s="220"/>
      <c r="J683" s="9"/>
    </row>
    <row r="684" spans="1:10" s="10" customFormat="1" x14ac:dyDescent="0.2">
      <c r="A684" s="165"/>
      <c r="B684" s="165"/>
      <c r="C684" s="16"/>
      <c r="D684" s="122"/>
      <c r="E684" s="122"/>
      <c r="F684" s="15"/>
      <c r="G684" s="117"/>
      <c r="H684" s="220"/>
      <c r="J684" s="9"/>
    </row>
    <row r="685" spans="1:10" s="10" customFormat="1" x14ac:dyDescent="0.2">
      <c r="A685" s="165"/>
      <c r="B685" s="165"/>
      <c r="C685" s="16"/>
      <c r="D685" s="122"/>
      <c r="E685" s="122"/>
      <c r="F685" s="15"/>
      <c r="G685" s="117"/>
      <c r="H685" s="220"/>
      <c r="J685" s="9"/>
    </row>
    <row r="686" spans="1:10" s="10" customFormat="1" x14ac:dyDescent="0.2">
      <c r="A686" s="165"/>
      <c r="B686" s="165"/>
      <c r="C686" s="16"/>
      <c r="D686" s="122"/>
      <c r="E686" s="122"/>
      <c r="F686" s="15"/>
      <c r="G686" s="117"/>
      <c r="H686" s="220"/>
      <c r="J686" s="9"/>
    </row>
    <row r="687" spans="1:10" s="10" customFormat="1" x14ac:dyDescent="0.2">
      <c r="A687" s="165"/>
      <c r="B687" s="165"/>
      <c r="C687" s="16"/>
      <c r="D687" s="122"/>
      <c r="E687" s="122"/>
      <c r="F687" s="15"/>
      <c r="G687" s="117"/>
      <c r="H687" s="220"/>
      <c r="J687" s="9"/>
    </row>
    <row r="688" spans="1:10" s="10" customFormat="1" x14ac:dyDescent="0.2">
      <c r="A688" s="165"/>
      <c r="B688" s="165"/>
      <c r="C688" s="16"/>
      <c r="D688" s="122"/>
      <c r="E688" s="122"/>
      <c r="F688" s="15"/>
      <c r="G688" s="117"/>
      <c r="H688" s="220"/>
      <c r="J688" s="9"/>
    </row>
    <row r="689" spans="1:10" s="10" customFormat="1" x14ac:dyDescent="0.2">
      <c r="A689" s="165"/>
      <c r="B689" s="165"/>
      <c r="C689" s="16"/>
      <c r="D689" s="122"/>
      <c r="E689" s="122"/>
      <c r="F689" s="15"/>
      <c r="G689" s="117"/>
      <c r="H689" s="220"/>
      <c r="J689" s="9"/>
    </row>
    <row r="690" spans="1:10" s="10" customFormat="1" x14ac:dyDescent="0.2">
      <c r="A690" s="165"/>
      <c r="B690" s="165"/>
      <c r="C690" s="16"/>
      <c r="D690" s="122"/>
      <c r="E690" s="122"/>
      <c r="F690" s="15"/>
      <c r="G690" s="117"/>
      <c r="H690" s="220"/>
      <c r="J690" s="9"/>
    </row>
    <row r="691" spans="1:10" s="10" customFormat="1" x14ac:dyDescent="0.2">
      <c r="A691" s="165"/>
      <c r="B691" s="165"/>
      <c r="C691" s="16"/>
      <c r="D691" s="122"/>
      <c r="E691" s="122"/>
      <c r="F691" s="15"/>
      <c r="G691" s="117"/>
      <c r="H691" s="220"/>
      <c r="J691" s="9"/>
    </row>
    <row r="692" spans="1:10" s="10" customFormat="1" x14ac:dyDescent="0.2">
      <c r="A692" s="165"/>
      <c r="B692" s="165"/>
      <c r="C692" s="16"/>
      <c r="D692" s="122"/>
      <c r="E692" s="122"/>
      <c r="F692" s="15"/>
      <c r="G692" s="117"/>
      <c r="H692" s="220"/>
      <c r="J692" s="9"/>
    </row>
    <row r="693" spans="1:10" s="10" customFormat="1" x14ac:dyDescent="0.2">
      <c r="A693" s="165"/>
      <c r="B693" s="165"/>
      <c r="C693" s="16"/>
      <c r="D693" s="122"/>
      <c r="E693" s="122"/>
      <c r="F693" s="15"/>
      <c r="G693" s="117"/>
      <c r="H693" s="220"/>
      <c r="J693" s="9"/>
    </row>
    <row r="694" spans="1:10" s="10" customFormat="1" x14ac:dyDescent="0.2">
      <c r="A694" s="165"/>
      <c r="B694" s="165"/>
      <c r="C694" s="16"/>
      <c r="D694" s="122"/>
      <c r="E694" s="122"/>
      <c r="F694" s="15"/>
      <c r="G694" s="117"/>
      <c r="H694" s="220"/>
      <c r="J694" s="9"/>
    </row>
    <row r="695" spans="1:10" s="10" customFormat="1" x14ac:dyDescent="0.2">
      <c r="A695" s="165"/>
      <c r="B695" s="165"/>
      <c r="C695" s="16"/>
      <c r="D695" s="122"/>
      <c r="E695" s="122"/>
      <c r="F695" s="15"/>
      <c r="G695" s="117"/>
      <c r="H695" s="220"/>
      <c r="J695" s="9"/>
    </row>
    <row r="696" spans="1:10" s="10" customFormat="1" x14ac:dyDescent="0.2">
      <c r="A696" s="165"/>
      <c r="B696" s="165"/>
      <c r="C696" s="16"/>
      <c r="D696" s="122"/>
      <c r="E696" s="122"/>
      <c r="F696" s="15"/>
      <c r="G696" s="117"/>
      <c r="H696" s="220"/>
      <c r="J696" s="9"/>
    </row>
    <row r="697" spans="1:10" s="10" customFormat="1" x14ac:dyDescent="0.2">
      <c r="A697" s="165"/>
      <c r="B697" s="165"/>
      <c r="C697" s="16"/>
      <c r="D697" s="122"/>
      <c r="E697" s="122"/>
      <c r="F697" s="15"/>
      <c r="G697" s="117"/>
      <c r="H697" s="220"/>
      <c r="J697" s="9"/>
    </row>
    <row r="698" spans="1:10" s="10" customFormat="1" x14ac:dyDescent="0.2">
      <c r="A698" s="165"/>
      <c r="B698" s="165"/>
      <c r="C698" s="16"/>
      <c r="D698" s="122"/>
      <c r="E698" s="122"/>
      <c r="F698" s="15"/>
      <c r="G698" s="117"/>
      <c r="H698" s="220"/>
      <c r="J698" s="9"/>
    </row>
    <row r="699" spans="1:10" s="10" customFormat="1" x14ac:dyDescent="0.2">
      <c r="A699" s="165"/>
      <c r="B699" s="165"/>
      <c r="C699" s="16"/>
      <c r="D699" s="122"/>
      <c r="E699" s="122"/>
      <c r="F699" s="15"/>
      <c r="G699" s="117"/>
      <c r="H699" s="220"/>
      <c r="J699" s="9"/>
    </row>
    <row r="700" spans="1:10" s="10" customFormat="1" x14ac:dyDescent="0.2">
      <c r="A700" s="165"/>
      <c r="B700" s="165"/>
      <c r="C700" s="16"/>
      <c r="D700" s="122"/>
      <c r="E700" s="122"/>
      <c r="F700" s="15"/>
      <c r="G700" s="117"/>
      <c r="H700" s="220"/>
      <c r="J700" s="9"/>
    </row>
    <row r="701" spans="1:10" s="10" customFormat="1" x14ac:dyDescent="0.2">
      <c r="A701" s="165"/>
      <c r="B701" s="165"/>
      <c r="C701" s="16"/>
      <c r="D701" s="122"/>
      <c r="E701" s="122"/>
      <c r="F701" s="15"/>
      <c r="G701" s="117"/>
      <c r="H701" s="220"/>
      <c r="J701" s="9"/>
    </row>
    <row r="702" spans="1:10" s="10" customFormat="1" x14ac:dyDescent="0.2">
      <c r="A702" s="165"/>
      <c r="B702" s="165"/>
      <c r="C702" s="16"/>
      <c r="D702" s="122"/>
      <c r="E702" s="122"/>
      <c r="F702" s="15"/>
      <c r="G702" s="117"/>
      <c r="H702" s="220"/>
      <c r="J702" s="9"/>
    </row>
    <row r="703" spans="1:10" s="10" customFormat="1" x14ac:dyDescent="0.2">
      <c r="A703" s="165"/>
      <c r="B703" s="165"/>
      <c r="C703" s="16"/>
      <c r="D703" s="122"/>
      <c r="E703" s="122"/>
      <c r="F703" s="15"/>
      <c r="G703" s="117"/>
      <c r="H703" s="220"/>
      <c r="J703" s="9"/>
    </row>
    <row r="704" spans="1:10" s="10" customFormat="1" x14ac:dyDescent="0.2">
      <c r="A704" s="165"/>
      <c r="B704" s="165"/>
      <c r="C704" s="16"/>
      <c r="D704" s="122"/>
      <c r="E704" s="122"/>
      <c r="F704" s="15"/>
      <c r="G704" s="117"/>
      <c r="H704" s="220"/>
      <c r="J704" s="9"/>
    </row>
    <row r="705" spans="1:10" s="10" customFormat="1" x14ac:dyDescent="0.2">
      <c r="A705" s="165"/>
      <c r="B705" s="165"/>
      <c r="C705" s="16"/>
      <c r="D705" s="122"/>
      <c r="E705" s="122"/>
      <c r="F705" s="15"/>
      <c r="G705" s="117"/>
      <c r="H705" s="220"/>
      <c r="J705" s="9"/>
    </row>
    <row r="706" spans="1:10" s="10" customFormat="1" x14ac:dyDescent="0.2">
      <c r="A706" s="165"/>
      <c r="B706" s="165"/>
      <c r="C706" s="16"/>
      <c r="D706" s="122"/>
      <c r="E706" s="122"/>
      <c r="F706" s="15"/>
      <c r="G706" s="117"/>
      <c r="H706" s="220"/>
      <c r="J706" s="9"/>
    </row>
    <row r="707" spans="1:10" s="10" customFormat="1" x14ac:dyDescent="0.2">
      <c r="A707" s="165"/>
      <c r="B707" s="165"/>
      <c r="C707" s="16"/>
      <c r="D707" s="122"/>
      <c r="E707" s="122"/>
      <c r="F707" s="15"/>
      <c r="G707" s="117"/>
      <c r="H707" s="220"/>
      <c r="J707" s="9"/>
    </row>
    <row r="708" spans="1:10" s="10" customFormat="1" x14ac:dyDescent="0.2">
      <c r="A708" s="165"/>
      <c r="B708" s="165"/>
      <c r="C708" s="16"/>
      <c r="D708" s="122"/>
      <c r="E708" s="122"/>
      <c r="F708" s="15"/>
      <c r="G708" s="117"/>
      <c r="H708" s="220"/>
      <c r="J708" s="9"/>
    </row>
    <row r="709" spans="1:10" s="10" customFormat="1" x14ac:dyDescent="0.2">
      <c r="A709" s="165"/>
      <c r="B709" s="165"/>
      <c r="C709" s="16"/>
      <c r="D709" s="122"/>
      <c r="E709" s="122"/>
      <c r="F709" s="15"/>
      <c r="G709" s="117"/>
      <c r="H709" s="220"/>
      <c r="J709" s="9"/>
    </row>
    <row r="710" spans="1:10" s="10" customFormat="1" x14ac:dyDescent="0.2">
      <c r="A710" s="165"/>
      <c r="B710" s="165"/>
      <c r="C710" s="16"/>
      <c r="D710" s="122"/>
      <c r="E710" s="122"/>
      <c r="F710" s="15"/>
      <c r="G710" s="117"/>
      <c r="H710" s="220"/>
      <c r="J710" s="9"/>
    </row>
    <row r="711" spans="1:10" s="10" customFormat="1" x14ac:dyDescent="0.2">
      <c r="A711" s="165"/>
      <c r="B711" s="165"/>
      <c r="C711" s="16"/>
      <c r="D711" s="122"/>
      <c r="E711" s="122"/>
      <c r="F711" s="15"/>
      <c r="G711" s="117"/>
      <c r="H711" s="220"/>
      <c r="J711" s="9"/>
    </row>
    <row r="712" spans="1:10" s="10" customFormat="1" x14ac:dyDescent="0.2">
      <c r="A712" s="165"/>
      <c r="B712" s="165"/>
      <c r="C712" s="16"/>
      <c r="D712" s="122"/>
      <c r="E712" s="122"/>
      <c r="F712" s="15"/>
      <c r="G712" s="117"/>
      <c r="H712" s="220"/>
      <c r="J712" s="9"/>
    </row>
    <row r="713" spans="1:10" s="10" customFormat="1" x14ac:dyDescent="0.2">
      <c r="A713" s="165"/>
      <c r="B713" s="165"/>
      <c r="C713" s="16"/>
      <c r="D713" s="122"/>
      <c r="E713" s="122"/>
      <c r="F713" s="15"/>
      <c r="G713" s="117"/>
      <c r="H713" s="220"/>
      <c r="J713" s="9"/>
    </row>
    <row r="714" spans="1:10" s="10" customFormat="1" x14ac:dyDescent="0.2">
      <c r="A714" s="165"/>
      <c r="B714" s="165"/>
      <c r="C714" s="16"/>
      <c r="D714" s="122"/>
      <c r="E714" s="122"/>
      <c r="F714" s="15"/>
      <c r="G714" s="117"/>
      <c r="H714" s="220"/>
      <c r="J714" s="9"/>
    </row>
    <row r="715" spans="1:10" s="10" customFormat="1" x14ac:dyDescent="0.2">
      <c r="A715" s="165"/>
      <c r="B715" s="165"/>
      <c r="C715" s="16"/>
      <c r="D715" s="122"/>
      <c r="E715" s="122"/>
      <c r="F715" s="15"/>
      <c r="G715" s="117"/>
      <c r="H715" s="220"/>
      <c r="J715" s="9"/>
    </row>
    <row r="716" spans="1:10" s="10" customFormat="1" x14ac:dyDescent="0.2">
      <c r="A716" s="165"/>
      <c r="B716" s="165"/>
      <c r="C716" s="16"/>
      <c r="D716" s="122"/>
      <c r="E716" s="122"/>
      <c r="F716" s="15"/>
      <c r="G716" s="117"/>
      <c r="H716" s="220"/>
      <c r="J716" s="9"/>
    </row>
    <row r="717" spans="1:10" s="10" customFormat="1" x14ac:dyDescent="0.2">
      <c r="A717" s="165"/>
      <c r="B717" s="165"/>
      <c r="C717" s="16"/>
      <c r="D717" s="122"/>
      <c r="E717" s="122"/>
      <c r="F717" s="15"/>
      <c r="G717" s="117"/>
      <c r="H717" s="220"/>
      <c r="J717" s="9"/>
    </row>
    <row r="718" spans="1:10" s="10" customFormat="1" x14ac:dyDescent="0.2">
      <c r="A718" s="165"/>
      <c r="B718" s="165"/>
      <c r="C718" s="16"/>
      <c r="D718" s="122"/>
      <c r="E718" s="122"/>
      <c r="F718" s="15"/>
      <c r="G718" s="117"/>
      <c r="H718" s="220"/>
      <c r="J718" s="9"/>
    </row>
    <row r="719" spans="1:10" s="10" customFormat="1" x14ac:dyDescent="0.2">
      <c r="A719" s="165"/>
      <c r="B719" s="165"/>
      <c r="C719" s="16"/>
      <c r="D719" s="122"/>
      <c r="E719" s="122"/>
      <c r="F719" s="15"/>
      <c r="G719" s="117"/>
      <c r="H719" s="220"/>
      <c r="J719" s="9"/>
    </row>
    <row r="720" spans="1:10" s="10" customFormat="1" x14ac:dyDescent="0.2">
      <c r="A720" s="165"/>
      <c r="B720" s="165"/>
      <c r="C720" s="16"/>
      <c r="D720" s="122"/>
      <c r="E720" s="122"/>
      <c r="F720" s="15"/>
      <c r="G720" s="117"/>
      <c r="H720" s="220"/>
      <c r="J720" s="9"/>
    </row>
    <row r="721" spans="1:10" s="10" customFormat="1" x14ac:dyDescent="0.2">
      <c r="A721" s="165"/>
      <c r="B721" s="165"/>
      <c r="C721" s="16"/>
      <c r="D721" s="122"/>
      <c r="E721" s="122"/>
      <c r="F721" s="15"/>
      <c r="G721" s="117"/>
      <c r="H721" s="220"/>
      <c r="J721" s="9"/>
    </row>
    <row r="722" spans="1:10" s="10" customFormat="1" x14ac:dyDescent="0.2">
      <c r="A722" s="165"/>
      <c r="B722" s="165"/>
      <c r="C722" s="16"/>
      <c r="D722" s="122"/>
      <c r="E722" s="122"/>
      <c r="F722" s="15"/>
      <c r="G722" s="117"/>
      <c r="H722" s="220"/>
      <c r="J722" s="9"/>
    </row>
    <row r="723" spans="1:10" s="10" customFormat="1" x14ac:dyDescent="0.2">
      <c r="A723" s="165"/>
      <c r="B723" s="165"/>
      <c r="C723" s="16"/>
      <c r="D723" s="122"/>
      <c r="E723" s="122"/>
      <c r="F723" s="15"/>
      <c r="G723" s="117"/>
      <c r="H723" s="220"/>
      <c r="J723" s="9"/>
    </row>
    <row r="724" spans="1:10" s="10" customFormat="1" x14ac:dyDescent="0.2">
      <c r="A724" s="165"/>
      <c r="B724" s="165"/>
      <c r="C724" s="16"/>
      <c r="D724" s="122"/>
      <c r="E724" s="122"/>
      <c r="F724" s="15"/>
      <c r="G724" s="117"/>
      <c r="H724" s="220"/>
      <c r="J724" s="9"/>
    </row>
    <row r="725" spans="1:10" s="10" customFormat="1" x14ac:dyDescent="0.2">
      <c r="A725" s="165"/>
      <c r="B725" s="165"/>
      <c r="C725" s="16"/>
      <c r="D725" s="122"/>
      <c r="E725" s="122"/>
      <c r="F725" s="15"/>
      <c r="G725" s="117"/>
      <c r="H725" s="220"/>
      <c r="J725" s="9"/>
    </row>
    <row r="726" spans="1:10" s="10" customFormat="1" x14ac:dyDescent="0.2">
      <c r="A726" s="165"/>
      <c r="B726" s="165"/>
      <c r="C726" s="16"/>
      <c r="D726" s="122"/>
      <c r="E726" s="122"/>
      <c r="F726" s="15"/>
      <c r="G726" s="117"/>
      <c r="H726" s="220"/>
      <c r="J726" s="9"/>
    </row>
    <row r="727" spans="1:10" s="10" customFormat="1" x14ac:dyDescent="0.2">
      <c r="A727" s="165"/>
      <c r="B727" s="165"/>
      <c r="C727" s="16"/>
      <c r="D727" s="122"/>
      <c r="E727" s="122"/>
      <c r="F727" s="15"/>
      <c r="G727" s="117"/>
      <c r="H727" s="220"/>
      <c r="J727" s="9"/>
    </row>
    <row r="728" spans="1:10" s="10" customFormat="1" x14ac:dyDescent="0.2">
      <c r="A728" s="165"/>
      <c r="B728" s="165"/>
      <c r="C728" s="16"/>
      <c r="D728" s="122"/>
      <c r="E728" s="122"/>
      <c r="F728" s="15"/>
      <c r="G728" s="117"/>
      <c r="H728" s="220"/>
      <c r="J728" s="9"/>
    </row>
    <row r="729" spans="1:10" s="10" customFormat="1" x14ac:dyDescent="0.2">
      <c r="A729" s="165"/>
      <c r="B729" s="165"/>
      <c r="C729" s="16"/>
      <c r="D729" s="122"/>
      <c r="E729" s="122"/>
      <c r="F729" s="15"/>
      <c r="G729" s="117"/>
      <c r="H729" s="220"/>
      <c r="J729" s="9"/>
    </row>
    <row r="730" spans="1:10" s="10" customFormat="1" x14ac:dyDescent="0.2">
      <c r="A730" s="165"/>
      <c r="B730" s="165"/>
      <c r="C730" s="16"/>
      <c r="D730" s="122"/>
      <c r="E730" s="122"/>
      <c r="F730" s="15"/>
      <c r="G730" s="117"/>
      <c r="H730" s="220"/>
      <c r="J730" s="9"/>
    </row>
    <row r="731" spans="1:10" s="10" customFormat="1" x14ac:dyDescent="0.2">
      <c r="A731" s="165"/>
      <c r="B731" s="165"/>
      <c r="C731" s="16"/>
      <c r="D731" s="122"/>
      <c r="E731" s="122"/>
      <c r="F731" s="15"/>
      <c r="G731" s="117"/>
      <c r="H731" s="220"/>
      <c r="J731" s="9"/>
    </row>
    <row r="732" spans="1:10" s="10" customFormat="1" x14ac:dyDescent="0.2">
      <c r="A732" s="165"/>
      <c r="B732" s="165"/>
      <c r="C732" s="16"/>
      <c r="D732" s="122"/>
      <c r="E732" s="122"/>
      <c r="F732" s="15"/>
      <c r="G732" s="117"/>
      <c r="H732" s="220"/>
      <c r="J732" s="9"/>
    </row>
    <row r="733" spans="1:10" s="10" customFormat="1" x14ac:dyDescent="0.2">
      <c r="A733" s="165"/>
      <c r="B733" s="165"/>
      <c r="C733" s="16"/>
      <c r="D733" s="122"/>
      <c r="E733" s="122"/>
      <c r="F733" s="15"/>
      <c r="G733" s="117"/>
      <c r="H733" s="220"/>
      <c r="J733" s="9"/>
    </row>
    <row r="734" spans="1:10" s="10" customFormat="1" x14ac:dyDescent="0.2">
      <c r="A734" s="165"/>
      <c r="B734" s="165"/>
      <c r="C734" s="16"/>
      <c r="D734" s="122"/>
      <c r="E734" s="122"/>
      <c r="F734" s="15"/>
      <c r="G734" s="117"/>
      <c r="H734" s="220"/>
      <c r="J734" s="9"/>
    </row>
    <row r="735" spans="1:10" s="10" customFormat="1" x14ac:dyDescent="0.2">
      <c r="A735" s="165"/>
      <c r="B735" s="165"/>
      <c r="C735" s="16"/>
      <c r="D735" s="122"/>
      <c r="E735" s="122"/>
      <c r="F735" s="15"/>
      <c r="G735" s="117"/>
      <c r="H735" s="220"/>
      <c r="J735" s="9"/>
    </row>
    <row r="736" spans="1:10" s="10" customFormat="1" x14ac:dyDescent="0.2">
      <c r="A736" s="165"/>
      <c r="B736" s="165"/>
      <c r="C736" s="16"/>
      <c r="D736" s="122"/>
      <c r="E736" s="122"/>
      <c r="F736" s="15"/>
      <c r="G736" s="117"/>
      <c r="H736" s="220"/>
      <c r="J736" s="9"/>
    </row>
    <row r="737" spans="1:10" s="10" customFormat="1" x14ac:dyDescent="0.2">
      <c r="A737" s="165"/>
      <c r="B737" s="165"/>
      <c r="C737" s="16"/>
      <c r="D737" s="122"/>
      <c r="E737" s="122"/>
      <c r="F737" s="15"/>
      <c r="G737" s="117"/>
      <c r="H737" s="220"/>
      <c r="J737" s="9"/>
    </row>
    <row r="738" spans="1:10" s="10" customFormat="1" x14ac:dyDescent="0.2">
      <c r="A738" s="165"/>
      <c r="B738" s="165"/>
      <c r="C738" s="16"/>
      <c r="D738" s="122"/>
      <c r="E738" s="122"/>
      <c r="F738" s="15"/>
      <c r="G738" s="117"/>
      <c r="H738" s="220"/>
      <c r="J738" s="9"/>
    </row>
    <row r="739" spans="1:10" s="10" customFormat="1" x14ac:dyDescent="0.2">
      <c r="A739" s="165"/>
      <c r="B739" s="165"/>
      <c r="C739" s="16"/>
      <c r="D739" s="122"/>
      <c r="E739" s="122"/>
      <c r="F739" s="15"/>
      <c r="G739" s="117"/>
      <c r="H739" s="220"/>
      <c r="J739" s="9"/>
    </row>
    <row r="740" spans="1:10" s="10" customFormat="1" x14ac:dyDescent="0.2">
      <c r="A740" s="165"/>
      <c r="B740" s="165"/>
      <c r="C740" s="16"/>
      <c r="D740" s="122"/>
      <c r="E740" s="122"/>
      <c r="F740" s="15"/>
      <c r="G740" s="117"/>
      <c r="H740" s="220"/>
      <c r="J740" s="9"/>
    </row>
    <row r="741" spans="1:10" s="10" customFormat="1" x14ac:dyDescent="0.2">
      <c r="A741" s="165"/>
      <c r="B741" s="165"/>
      <c r="C741" s="16"/>
      <c r="D741" s="122"/>
      <c r="E741" s="122"/>
      <c r="F741" s="15"/>
      <c r="G741" s="117"/>
      <c r="H741" s="220"/>
      <c r="J741" s="9"/>
    </row>
    <row r="742" spans="1:10" s="10" customFormat="1" x14ac:dyDescent="0.2">
      <c r="A742" s="165"/>
      <c r="B742" s="165"/>
      <c r="C742" s="16"/>
      <c r="D742" s="122"/>
      <c r="E742" s="122"/>
      <c r="F742" s="15"/>
      <c r="G742" s="117"/>
      <c r="H742" s="220"/>
      <c r="J742" s="9"/>
    </row>
    <row r="743" spans="1:10" s="10" customFormat="1" x14ac:dyDescent="0.2">
      <c r="A743" s="165"/>
      <c r="B743" s="165"/>
      <c r="C743" s="16"/>
      <c r="D743" s="122"/>
      <c r="E743" s="122"/>
      <c r="F743" s="15"/>
      <c r="G743" s="117"/>
      <c r="H743" s="220"/>
      <c r="J743" s="9"/>
    </row>
    <row r="744" spans="1:10" s="10" customFormat="1" x14ac:dyDescent="0.2">
      <c r="A744" s="165"/>
      <c r="B744" s="165"/>
      <c r="C744" s="16"/>
      <c r="D744" s="122"/>
      <c r="E744" s="122"/>
      <c r="F744" s="15"/>
      <c r="G744" s="117"/>
      <c r="H744" s="220"/>
      <c r="J744" s="9"/>
    </row>
    <row r="745" spans="1:10" s="10" customFormat="1" x14ac:dyDescent="0.2">
      <c r="A745" s="165"/>
      <c r="B745" s="165"/>
      <c r="C745" s="16"/>
      <c r="D745" s="122"/>
      <c r="E745" s="122"/>
      <c r="F745" s="15"/>
      <c r="G745" s="117"/>
      <c r="H745" s="220"/>
      <c r="J745" s="9"/>
    </row>
    <row r="746" spans="1:10" s="10" customFormat="1" x14ac:dyDescent="0.2">
      <c r="A746" s="165"/>
      <c r="B746" s="165"/>
      <c r="C746" s="16"/>
      <c r="D746" s="122"/>
      <c r="E746" s="122"/>
      <c r="F746" s="15"/>
      <c r="G746" s="117"/>
      <c r="H746" s="220"/>
      <c r="J746" s="9"/>
    </row>
    <row r="747" spans="1:10" s="10" customFormat="1" x14ac:dyDescent="0.2">
      <c r="A747" s="165"/>
      <c r="B747" s="165"/>
      <c r="C747" s="16"/>
      <c r="D747" s="122"/>
      <c r="E747" s="122"/>
      <c r="F747" s="15"/>
      <c r="G747" s="117"/>
      <c r="H747" s="220"/>
      <c r="J747" s="9"/>
    </row>
    <row r="748" spans="1:10" s="10" customFormat="1" x14ac:dyDescent="0.2">
      <c r="A748" s="165"/>
      <c r="B748" s="165"/>
      <c r="C748" s="16"/>
      <c r="D748" s="122"/>
      <c r="E748" s="122"/>
      <c r="F748" s="15"/>
      <c r="G748" s="117"/>
      <c r="H748" s="220"/>
      <c r="J748" s="9"/>
    </row>
    <row r="749" spans="1:10" s="10" customFormat="1" x14ac:dyDescent="0.2">
      <c r="A749" s="165"/>
      <c r="B749" s="165"/>
      <c r="C749" s="16"/>
      <c r="D749" s="122"/>
      <c r="E749" s="122"/>
      <c r="F749" s="15"/>
      <c r="G749" s="117"/>
      <c r="H749" s="220"/>
      <c r="J749" s="9"/>
    </row>
    <row r="750" spans="1:10" s="10" customFormat="1" x14ac:dyDescent="0.2">
      <c r="A750" s="165"/>
      <c r="B750" s="165"/>
      <c r="C750" s="16"/>
      <c r="D750" s="122"/>
      <c r="E750" s="122"/>
      <c r="F750" s="15"/>
      <c r="G750" s="117"/>
      <c r="H750" s="220"/>
      <c r="J750" s="9"/>
    </row>
    <row r="751" spans="1:10" s="10" customFormat="1" x14ac:dyDescent="0.2">
      <c r="A751" s="165"/>
      <c r="B751" s="165"/>
      <c r="C751" s="16"/>
      <c r="D751" s="122"/>
      <c r="E751" s="122"/>
      <c r="F751" s="15"/>
      <c r="G751" s="117"/>
      <c r="H751" s="220"/>
      <c r="J751" s="9"/>
    </row>
    <row r="752" spans="1:10" s="10" customFormat="1" x14ac:dyDescent="0.2">
      <c r="A752" s="165"/>
      <c r="B752" s="165"/>
      <c r="C752" s="16"/>
      <c r="D752" s="122"/>
      <c r="E752" s="122"/>
      <c r="F752" s="15"/>
      <c r="G752" s="117"/>
      <c r="H752" s="220"/>
      <c r="J752" s="9"/>
    </row>
    <row r="753" spans="1:10" s="10" customFormat="1" x14ac:dyDescent="0.2">
      <c r="A753" s="165"/>
      <c r="B753" s="165"/>
      <c r="C753" s="16"/>
      <c r="D753" s="122"/>
      <c r="E753" s="122"/>
      <c r="F753" s="15"/>
      <c r="G753" s="117"/>
      <c r="H753" s="220"/>
      <c r="J753" s="9"/>
    </row>
    <row r="754" spans="1:10" s="10" customFormat="1" x14ac:dyDescent="0.2">
      <c r="A754" s="165"/>
      <c r="B754" s="165"/>
      <c r="C754" s="16"/>
      <c r="D754" s="122"/>
      <c r="E754" s="122"/>
      <c r="F754" s="15"/>
      <c r="G754" s="117"/>
      <c r="H754" s="220"/>
      <c r="J754" s="9"/>
    </row>
    <row r="755" spans="1:10" s="10" customFormat="1" x14ac:dyDescent="0.2">
      <c r="A755" s="165"/>
      <c r="B755" s="165"/>
      <c r="C755" s="16"/>
      <c r="D755" s="122"/>
      <c r="E755" s="122"/>
      <c r="F755" s="15"/>
      <c r="G755" s="117"/>
      <c r="H755" s="220"/>
      <c r="J755" s="9"/>
    </row>
    <row r="756" spans="1:10" s="10" customFormat="1" x14ac:dyDescent="0.2">
      <c r="A756" s="165"/>
      <c r="B756" s="165"/>
      <c r="C756" s="16"/>
      <c r="D756" s="122"/>
      <c r="E756" s="122"/>
      <c r="F756" s="15"/>
      <c r="G756" s="117"/>
      <c r="H756" s="220"/>
      <c r="J756" s="9"/>
    </row>
    <row r="757" spans="1:10" s="10" customFormat="1" x14ac:dyDescent="0.2">
      <c r="A757" s="165"/>
      <c r="B757" s="165"/>
      <c r="C757" s="16"/>
      <c r="D757" s="122"/>
      <c r="E757" s="122"/>
      <c r="F757" s="15"/>
      <c r="G757" s="117"/>
      <c r="H757" s="220"/>
      <c r="J757" s="9"/>
    </row>
    <row r="758" spans="1:10" s="10" customFormat="1" x14ac:dyDescent="0.2">
      <c r="A758" s="165"/>
      <c r="B758" s="165"/>
      <c r="C758" s="16"/>
      <c r="D758" s="122"/>
      <c r="E758" s="122"/>
      <c r="F758" s="15"/>
      <c r="G758" s="117"/>
      <c r="H758" s="220"/>
      <c r="J758" s="9"/>
    </row>
    <row r="759" spans="1:10" s="10" customFormat="1" x14ac:dyDescent="0.2">
      <c r="A759" s="165"/>
      <c r="B759" s="165"/>
      <c r="C759" s="16"/>
      <c r="D759" s="122"/>
      <c r="E759" s="122"/>
      <c r="F759" s="15"/>
      <c r="G759" s="117"/>
      <c r="H759" s="220"/>
      <c r="J759" s="9"/>
    </row>
    <row r="760" spans="1:10" s="10" customFormat="1" x14ac:dyDescent="0.2">
      <c r="A760" s="165"/>
      <c r="B760" s="165"/>
      <c r="C760" s="16"/>
      <c r="D760" s="122"/>
      <c r="E760" s="122"/>
      <c r="F760" s="15"/>
      <c r="G760" s="117"/>
      <c r="H760" s="220"/>
      <c r="J760" s="9"/>
    </row>
    <row r="761" spans="1:10" s="10" customFormat="1" x14ac:dyDescent="0.2">
      <c r="A761" s="165"/>
      <c r="B761" s="165"/>
      <c r="C761" s="16"/>
      <c r="D761" s="122"/>
      <c r="E761" s="122"/>
      <c r="F761" s="15"/>
      <c r="G761" s="117"/>
      <c r="H761" s="220"/>
      <c r="J761" s="9"/>
    </row>
    <row r="762" spans="1:10" s="10" customFormat="1" x14ac:dyDescent="0.2">
      <c r="A762" s="165"/>
      <c r="B762" s="165"/>
      <c r="C762" s="16"/>
      <c r="D762" s="122"/>
      <c r="E762" s="122"/>
      <c r="F762" s="15"/>
      <c r="G762" s="117"/>
      <c r="H762" s="220"/>
      <c r="J762" s="9"/>
    </row>
    <row r="763" spans="1:10" s="10" customFormat="1" x14ac:dyDescent="0.2">
      <c r="A763" s="165"/>
      <c r="B763" s="165"/>
      <c r="C763" s="16"/>
      <c r="D763" s="122"/>
      <c r="E763" s="122"/>
      <c r="F763" s="15"/>
      <c r="G763" s="117"/>
      <c r="H763" s="220"/>
      <c r="J763" s="9"/>
    </row>
    <row r="764" spans="1:10" s="10" customFormat="1" x14ac:dyDescent="0.2">
      <c r="A764" s="165"/>
      <c r="B764" s="165"/>
      <c r="C764" s="16"/>
      <c r="D764" s="122"/>
      <c r="E764" s="122"/>
      <c r="F764" s="15"/>
      <c r="G764" s="117"/>
      <c r="H764" s="220"/>
      <c r="J764" s="9"/>
    </row>
    <row r="765" spans="1:10" s="10" customFormat="1" x14ac:dyDescent="0.2">
      <c r="A765" s="165"/>
      <c r="B765" s="165"/>
      <c r="C765" s="16"/>
      <c r="D765" s="122"/>
      <c r="E765" s="122"/>
      <c r="F765" s="15"/>
      <c r="G765" s="117"/>
      <c r="H765" s="220"/>
      <c r="J765" s="9"/>
    </row>
    <row r="766" spans="1:10" s="10" customFormat="1" x14ac:dyDescent="0.2">
      <c r="A766" s="165"/>
      <c r="B766" s="165"/>
      <c r="C766" s="16"/>
      <c r="D766" s="122"/>
      <c r="E766" s="122"/>
      <c r="F766" s="15"/>
      <c r="G766" s="117"/>
      <c r="H766" s="220"/>
      <c r="J766" s="9"/>
    </row>
    <row r="767" spans="1:10" s="10" customFormat="1" x14ac:dyDescent="0.2">
      <c r="A767" s="165"/>
      <c r="B767" s="165"/>
      <c r="C767" s="16"/>
      <c r="D767" s="122"/>
      <c r="E767" s="122"/>
      <c r="F767" s="15"/>
      <c r="G767" s="117"/>
      <c r="H767" s="220"/>
      <c r="J767" s="9"/>
    </row>
    <row r="768" spans="1:10" s="10" customFormat="1" x14ac:dyDescent="0.2">
      <c r="A768" s="165"/>
      <c r="B768" s="165"/>
      <c r="C768" s="16"/>
      <c r="D768" s="122"/>
      <c r="E768" s="122"/>
      <c r="F768" s="15"/>
      <c r="G768" s="117"/>
      <c r="H768" s="220"/>
      <c r="J768" s="9"/>
    </row>
    <row r="769" spans="1:10" s="10" customFormat="1" x14ac:dyDescent="0.2">
      <c r="A769" s="165"/>
      <c r="B769" s="165"/>
      <c r="C769" s="16"/>
      <c r="D769" s="122"/>
      <c r="E769" s="122"/>
      <c r="F769" s="15"/>
      <c r="G769" s="117"/>
      <c r="H769" s="220"/>
      <c r="J769" s="9"/>
    </row>
    <row r="770" spans="1:10" s="10" customFormat="1" x14ac:dyDescent="0.2">
      <c r="A770" s="165"/>
      <c r="B770" s="165"/>
      <c r="C770" s="16"/>
      <c r="D770" s="122"/>
      <c r="E770" s="122"/>
      <c r="F770" s="15"/>
      <c r="G770" s="117"/>
      <c r="H770" s="220"/>
      <c r="J770" s="9"/>
    </row>
    <row r="771" spans="1:10" s="10" customFormat="1" x14ac:dyDescent="0.2">
      <c r="A771" s="165"/>
      <c r="B771" s="165"/>
      <c r="C771" s="16"/>
      <c r="D771" s="122"/>
      <c r="E771" s="122"/>
      <c r="F771" s="15"/>
      <c r="G771" s="117"/>
      <c r="H771" s="220"/>
      <c r="J771" s="9"/>
    </row>
    <row r="772" spans="1:10" s="10" customFormat="1" x14ac:dyDescent="0.2">
      <c r="A772" s="165"/>
      <c r="B772" s="165"/>
      <c r="C772" s="16"/>
      <c r="D772" s="122"/>
      <c r="E772" s="122"/>
      <c r="F772" s="15"/>
      <c r="G772" s="117"/>
      <c r="H772" s="220"/>
      <c r="J772" s="9"/>
    </row>
    <row r="773" spans="1:10" s="10" customFormat="1" x14ac:dyDescent="0.2">
      <c r="A773" s="165"/>
      <c r="B773" s="165"/>
      <c r="C773" s="16"/>
      <c r="D773" s="122"/>
      <c r="E773" s="122"/>
      <c r="F773" s="15"/>
      <c r="G773" s="117"/>
      <c r="H773" s="220"/>
      <c r="J773" s="9"/>
    </row>
    <row r="774" spans="1:10" s="10" customFormat="1" x14ac:dyDescent="0.2">
      <c r="A774" s="165"/>
      <c r="B774" s="165"/>
      <c r="C774" s="16"/>
      <c r="D774" s="122"/>
      <c r="E774" s="122"/>
      <c r="F774" s="15"/>
      <c r="G774" s="117"/>
      <c r="H774" s="220"/>
      <c r="J774" s="9"/>
    </row>
    <row r="775" spans="1:10" s="10" customFormat="1" x14ac:dyDescent="0.2">
      <c r="A775" s="165"/>
      <c r="B775" s="165"/>
      <c r="C775" s="16"/>
      <c r="D775" s="122"/>
      <c r="E775" s="122"/>
      <c r="F775" s="15"/>
      <c r="G775" s="117"/>
      <c r="H775" s="220"/>
      <c r="J775" s="9"/>
    </row>
    <row r="776" spans="1:10" s="10" customFormat="1" x14ac:dyDescent="0.2">
      <c r="A776" s="165"/>
      <c r="B776" s="165"/>
      <c r="C776" s="16"/>
      <c r="D776" s="122"/>
      <c r="E776" s="122"/>
      <c r="F776" s="15"/>
      <c r="G776" s="117"/>
      <c r="H776" s="220"/>
      <c r="J776" s="9"/>
    </row>
    <row r="777" spans="1:10" s="10" customFormat="1" x14ac:dyDescent="0.2">
      <c r="A777" s="165"/>
      <c r="B777" s="165"/>
      <c r="C777" s="16"/>
      <c r="D777" s="122"/>
      <c r="E777" s="122"/>
      <c r="F777" s="15"/>
      <c r="G777" s="117"/>
      <c r="H777" s="220"/>
      <c r="J777" s="9"/>
    </row>
    <row r="778" spans="1:10" s="10" customFormat="1" x14ac:dyDescent="0.2">
      <c r="A778" s="165"/>
      <c r="B778" s="165"/>
      <c r="C778" s="16"/>
      <c r="D778" s="122"/>
      <c r="E778" s="122"/>
      <c r="F778" s="15"/>
      <c r="G778" s="117"/>
      <c r="H778" s="220"/>
      <c r="J778" s="9"/>
    </row>
    <row r="779" spans="1:10" s="10" customFormat="1" x14ac:dyDescent="0.2">
      <c r="A779" s="165"/>
      <c r="B779" s="165"/>
      <c r="C779" s="16"/>
      <c r="D779" s="122"/>
      <c r="E779" s="122"/>
      <c r="F779" s="15"/>
      <c r="G779" s="117"/>
      <c r="H779" s="220"/>
      <c r="J779" s="9"/>
    </row>
    <row r="780" spans="1:10" s="10" customFormat="1" x14ac:dyDescent="0.2">
      <c r="A780" s="165"/>
      <c r="B780" s="165"/>
      <c r="C780" s="16"/>
      <c r="D780" s="122"/>
      <c r="E780" s="122"/>
      <c r="F780" s="15"/>
      <c r="G780" s="117"/>
      <c r="H780" s="220"/>
      <c r="J780" s="9"/>
    </row>
    <row r="781" spans="1:10" s="10" customFormat="1" x14ac:dyDescent="0.2">
      <c r="A781" s="165"/>
      <c r="B781" s="165"/>
      <c r="C781" s="16"/>
      <c r="D781" s="122"/>
      <c r="E781" s="122"/>
      <c r="F781" s="15"/>
      <c r="G781" s="117"/>
      <c r="H781" s="220"/>
      <c r="J781" s="9"/>
    </row>
    <row r="782" spans="1:10" s="10" customFormat="1" x14ac:dyDescent="0.2">
      <c r="A782" s="165"/>
      <c r="B782" s="165"/>
      <c r="C782" s="16"/>
      <c r="D782" s="122"/>
      <c r="E782" s="122"/>
      <c r="F782" s="15"/>
      <c r="G782" s="117"/>
      <c r="H782" s="220"/>
      <c r="J782" s="9"/>
    </row>
    <row r="783" spans="1:10" s="10" customFormat="1" x14ac:dyDescent="0.2">
      <c r="A783" s="165"/>
      <c r="B783" s="165"/>
      <c r="C783" s="16"/>
      <c r="D783" s="122"/>
      <c r="E783" s="122"/>
      <c r="F783" s="15"/>
      <c r="G783" s="117"/>
      <c r="H783" s="220"/>
      <c r="J783" s="9"/>
    </row>
    <row r="784" spans="1:10" s="10" customFormat="1" x14ac:dyDescent="0.2">
      <c r="A784" s="165"/>
      <c r="B784" s="165"/>
      <c r="C784" s="16"/>
      <c r="D784" s="122"/>
      <c r="E784" s="122"/>
      <c r="F784" s="15"/>
      <c r="G784" s="117"/>
      <c r="H784" s="220"/>
      <c r="J784" s="9"/>
    </row>
    <row r="785" spans="1:10" s="10" customFormat="1" x14ac:dyDescent="0.2">
      <c r="A785" s="165"/>
      <c r="B785" s="165"/>
      <c r="C785" s="16"/>
      <c r="D785" s="122"/>
      <c r="E785" s="122"/>
      <c r="F785" s="15"/>
      <c r="G785" s="117"/>
      <c r="H785" s="220"/>
      <c r="J785" s="9"/>
    </row>
    <row r="786" spans="1:10" s="10" customFormat="1" x14ac:dyDescent="0.2">
      <c r="A786" s="165"/>
      <c r="B786" s="165"/>
      <c r="C786" s="16"/>
      <c r="D786" s="122"/>
      <c r="E786" s="122"/>
      <c r="F786" s="15"/>
      <c r="G786" s="117"/>
      <c r="H786" s="220"/>
      <c r="J786" s="9"/>
    </row>
    <row r="787" spans="1:10" s="10" customFormat="1" x14ac:dyDescent="0.2">
      <c r="A787" s="165"/>
      <c r="B787" s="165"/>
      <c r="C787" s="16"/>
      <c r="D787" s="122"/>
      <c r="E787" s="122"/>
      <c r="F787" s="15"/>
      <c r="G787" s="117"/>
      <c r="H787" s="220"/>
      <c r="J787" s="9"/>
    </row>
    <row r="788" spans="1:10" s="10" customFormat="1" x14ac:dyDescent="0.2">
      <c r="A788" s="165"/>
      <c r="B788" s="165"/>
      <c r="C788" s="16"/>
      <c r="D788" s="122"/>
      <c r="E788" s="122"/>
      <c r="F788" s="15"/>
      <c r="G788" s="117"/>
      <c r="H788" s="220"/>
      <c r="J788" s="9"/>
    </row>
    <row r="789" spans="1:10" s="10" customFormat="1" x14ac:dyDescent="0.2">
      <c r="A789" s="165"/>
      <c r="B789" s="165"/>
      <c r="C789" s="16"/>
      <c r="D789" s="122"/>
      <c r="E789" s="122"/>
      <c r="F789" s="15"/>
      <c r="G789" s="117"/>
      <c r="H789" s="220"/>
      <c r="J789" s="9"/>
    </row>
    <row r="790" spans="1:10" s="10" customFormat="1" x14ac:dyDescent="0.2">
      <c r="A790" s="165"/>
      <c r="B790" s="165"/>
      <c r="C790" s="16"/>
      <c r="D790" s="122"/>
      <c r="E790" s="122"/>
      <c r="F790" s="15"/>
      <c r="G790" s="117"/>
      <c r="H790" s="220"/>
      <c r="J790" s="9"/>
    </row>
    <row r="791" spans="1:10" s="10" customFormat="1" x14ac:dyDescent="0.2">
      <c r="A791" s="165"/>
      <c r="B791" s="165"/>
      <c r="C791" s="16"/>
      <c r="D791" s="122"/>
      <c r="E791" s="122"/>
      <c r="F791" s="15"/>
      <c r="G791" s="117"/>
      <c r="H791" s="220"/>
      <c r="J791" s="9"/>
    </row>
    <row r="792" spans="1:10" s="10" customFormat="1" x14ac:dyDescent="0.2">
      <c r="A792" s="165"/>
      <c r="B792" s="165"/>
      <c r="C792" s="16"/>
      <c r="D792" s="122"/>
      <c r="E792" s="122"/>
      <c r="F792" s="15"/>
      <c r="G792" s="117"/>
      <c r="H792" s="220"/>
      <c r="J792" s="9"/>
    </row>
    <row r="793" spans="1:10" s="10" customFormat="1" x14ac:dyDescent="0.2">
      <c r="A793" s="165"/>
      <c r="B793" s="165"/>
      <c r="C793" s="16"/>
      <c r="D793" s="122"/>
      <c r="E793" s="122"/>
      <c r="F793" s="15"/>
      <c r="G793" s="117"/>
      <c r="H793" s="220"/>
      <c r="J793" s="9"/>
    </row>
    <row r="794" spans="1:10" s="10" customFormat="1" x14ac:dyDescent="0.2">
      <c r="A794" s="165"/>
      <c r="B794" s="165"/>
      <c r="C794" s="16"/>
      <c r="D794" s="122"/>
      <c r="E794" s="122"/>
      <c r="F794" s="15"/>
      <c r="G794" s="117"/>
      <c r="H794" s="220"/>
      <c r="J794" s="9"/>
    </row>
    <row r="795" spans="1:10" s="10" customFormat="1" x14ac:dyDescent="0.2">
      <c r="A795" s="165"/>
      <c r="B795" s="165"/>
      <c r="C795" s="16"/>
      <c r="D795" s="122"/>
      <c r="E795" s="122"/>
      <c r="F795" s="15"/>
      <c r="G795" s="117"/>
      <c r="H795" s="220"/>
      <c r="J795" s="9"/>
    </row>
    <row r="796" spans="1:10" s="10" customFormat="1" x14ac:dyDescent="0.2">
      <c r="A796" s="165"/>
      <c r="B796" s="165"/>
      <c r="C796" s="16"/>
      <c r="D796" s="122"/>
      <c r="E796" s="122"/>
      <c r="F796" s="15"/>
      <c r="G796" s="117"/>
      <c r="H796" s="220"/>
      <c r="J796" s="9"/>
    </row>
    <row r="797" spans="1:10" s="10" customFormat="1" x14ac:dyDescent="0.2">
      <c r="A797" s="165"/>
      <c r="B797" s="165"/>
      <c r="C797" s="16"/>
      <c r="D797" s="122"/>
      <c r="E797" s="122"/>
      <c r="F797" s="15"/>
      <c r="G797" s="117"/>
      <c r="H797" s="220"/>
      <c r="J797" s="9"/>
    </row>
    <row r="798" spans="1:10" s="10" customFormat="1" x14ac:dyDescent="0.2">
      <c r="A798" s="165"/>
      <c r="B798" s="165"/>
      <c r="C798" s="16"/>
      <c r="D798" s="122"/>
      <c r="E798" s="122"/>
      <c r="F798" s="15"/>
      <c r="G798" s="117"/>
      <c r="H798" s="220"/>
      <c r="J798" s="9"/>
    </row>
    <row r="799" spans="1:10" s="10" customFormat="1" x14ac:dyDescent="0.2">
      <c r="A799" s="165"/>
      <c r="B799" s="165"/>
      <c r="C799" s="16"/>
      <c r="D799" s="122"/>
      <c r="E799" s="122"/>
      <c r="F799" s="15"/>
      <c r="G799" s="117"/>
      <c r="H799" s="220"/>
      <c r="J799" s="9"/>
    </row>
    <row r="800" spans="1:10" s="10" customFormat="1" x14ac:dyDescent="0.2">
      <c r="A800" s="165"/>
      <c r="B800" s="165"/>
      <c r="C800" s="16"/>
      <c r="D800" s="122"/>
      <c r="E800" s="122"/>
      <c r="F800" s="15"/>
      <c r="G800" s="117"/>
      <c r="H800" s="220"/>
      <c r="J800" s="9"/>
    </row>
    <row r="801" spans="1:10" s="10" customFormat="1" x14ac:dyDescent="0.2">
      <c r="A801" s="165"/>
      <c r="B801" s="165"/>
      <c r="C801" s="16"/>
      <c r="D801" s="122"/>
      <c r="E801" s="122"/>
      <c r="F801" s="15"/>
      <c r="G801" s="117"/>
      <c r="H801" s="220"/>
      <c r="J801" s="9"/>
    </row>
    <row r="802" spans="1:10" s="10" customFormat="1" x14ac:dyDescent="0.2">
      <c r="A802" s="165"/>
      <c r="B802" s="165"/>
      <c r="C802" s="16"/>
      <c r="D802" s="122"/>
      <c r="E802" s="122"/>
      <c r="F802" s="15"/>
      <c r="G802" s="117"/>
      <c r="H802" s="220"/>
      <c r="J802" s="9"/>
    </row>
    <row r="803" spans="1:10" s="10" customFormat="1" x14ac:dyDescent="0.2">
      <c r="A803" s="165"/>
      <c r="B803" s="165"/>
      <c r="C803" s="16"/>
      <c r="D803" s="122"/>
      <c r="E803" s="122"/>
      <c r="F803" s="15"/>
      <c r="G803" s="117"/>
      <c r="H803" s="220"/>
      <c r="J803" s="9"/>
    </row>
    <row r="804" spans="1:10" s="10" customFormat="1" x14ac:dyDescent="0.2">
      <c r="A804" s="165"/>
      <c r="B804" s="165"/>
      <c r="C804" s="16"/>
      <c r="D804" s="122"/>
      <c r="E804" s="122"/>
      <c r="F804" s="15"/>
      <c r="G804" s="117"/>
      <c r="H804" s="220"/>
      <c r="J804" s="9"/>
    </row>
    <row r="805" spans="1:10" s="10" customFormat="1" x14ac:dyDescent="0.2">
      <c r="A805" s="165"/>
      <c r="B805" s="165"/>
      <c r="C805" s="16"/>
      <c r="D805" s="122"/>
      <c r="E805" s="122"/>
      <c r="F805" s="15"/>
      <c r="G805" s="117"/>
      <c r="H805" s="220"/>
      <c r="J805" s="9"/>
    </row>
    <row r="806" spans="1:10" s="10" customFormat="1" x14ac:dyDescent="0.2">
      <c r="A806" s="165"/>
      <c r="B806" s="165"/>
      <c r="C806" s="16"/>
      <c r="D806" s="122"/>
      <c r="E806" s="122"/>
      <c r="F806" s="15"/>
      <c r="G806" s="117"/>
      <c r="H806" s="220"/>
      <c r="J806" s="9"/>
    </row>
    <row r="807" spans="1:10" s="10" customFormat="1" x14ac:dyDescent="0.2">
      <c r="A807" s="165"/>
      <c r="B807" s="165"/>
      <c r="C807" s="16"/>
      <c r="D807" s="122"/>
      <c r="E807" s="122"/>
      <c r="F807" s="15"/>
      <c r="G807" s="117"/>
      <c r="H807" s="220"/>
      <c r="J807" s="9"/>
    </row>
    <row r="808" spans="1:10" s="10" customFormat="1" x14ac:dyDescent="0.2">
      <c r="A808" s="165"/>
      <c r="B808" s="165"/>
      <c r="C808" s="16"/>
      <c r="D808" s="122"/>
      <c r="E808" s="122"/>
      <c r="F808" s="15"/>
      <c r="G808" s="117"/>
      <c r="H808" s="220"/>
      <c r="J808" s="9"/>
    </row>
    <row r="809" spans="1:10" s="10" customFormat="1" x14ac:dyDescent="0.2">
      <c r="A809" s="165"/>
      <c r="B809" s="165"/>
      <c r="C809" s="16"/>
      <c r="D809" s="122"/>
      <c r="E809" s="122"/>
      <c r="F809" s="15"/>
      <c r="G809" s="117"/>
      <c r="H809" s="220"/>
      <c r="J809" s="9"/>
    </row>
    <row r="810" spans="1:10" s="10" customFormat="1" x14ac:dyDescent="0.2">
      <c r="A810" s="165"/>
      <c r="B810" s="165"/>
      <c r="C810" s="16"/>
      <c r="D810" s="122"/>
      <c r="E810" s="122"/>
      <c r="F810" s="15"/>
      <c r="G810" s="117"/>
      <c r="H810" s="220"/>
      <c r="J810" s="9"/>
    </row>
    <row r="811" spans="1:10" s="10" customFormat="1" x14ac:dyDescent="0.2">
      <c r="A811" s="165"/>
      <c r="B811" s="165"/>
      <c r="C811" s="16"/>
      <c r="D811" s="122"/>
      <c r="E811" s="122"/>
      <c r="F811" s="15"/>
      <c r="G811" s="117"/>
      <c r="H811" s="220"/>
      <c r="J811" s="9"/>
    </row>
    <row r="812" spans="1:10" s="10" customFormat="1" x14ac:dyDescent="0.2">
      <c r="A812" s="165"/>
      <c r="B812" s="165"/>
      <c r="C812" s="16"/>
      <c r="D812" s="122"/>
      <c r="E812" s="122"/>
      <c r="F812" s="15"/>
      <c r="G812" s="117"/>
      <c r="H812" s="220"/>
      <c r="J812" s="9"/>
    </row>
    <row r="813" spans="1:10" s="10" customFormat="1" x14ac:dyDescent="0.2">
      <c r="A813" s="165"/>
      <c r="B813" s="165"/>
      <c r="C813" s="16"/>
      <c r="D813" s="122"/>
      <c r="E813" s="122"/>
      <c r="F813" s="15"/>
      <c r="G813" s="117"/>
      <c r="H813" s="220"/>
      <c r="J813" s="9"/>
    </row>
    <row r="814" spans="1:10" s="10" customFormat="1" x14ac:dyDescent="0.2">
      <c r="A814" s="165"/>
      <c r="B814" s="165"/>
      <c r="C814" s="16"/>
      <c r="D814" s="122"/>
      <c r="E814" s="122"/>
      <c r="F814" s="15"/>
      <c r="G814" s="117"/>
      <c r="H814" s="220"/>
      <c r="J814" s="9"/>
    </row>
    <row r="815" spans="1:10" s="10" customFormat="1" x14ac:dyDescent="0.2">
      <c r="A815" s="165"/>
      <c r="B815" s="165"/>
      <c r="C815" s="16"/>
      <c r="D815" s="122"/>
      <c r="E815" s="122"/>
      <c r="F815" s="15"/>
      <c r="G815" s="117"/>
      <c r="H815" s="220"/>
      <c r="J815" s="9"/>
    </row>
    <row r="816" spans="1:10" s="10" customFormat="1" x14ac:dyDescent="0.2">
      <c r="A816" s="165"/>
      <c r="B816" s="165"/>
      <c r="C816" s="16"/>
      <c r="D816" s="122"/>
      <c r="E816" s="122"/>
      <c r="F816" s="15"/>
      <c r="G816" s="117"/>
      <c r="H816" s="220"/>
      <c r="J816" s="9"/>
    </row>
    <row r="817" spans="1:10" s="10" customFormat="1" x14ac:dyDescent="0.2">
      <c r="A817" s="165"/>
      <c r="B817" s="165"/>
      <c r="C817" s="16"/>
      <c r="D817" s="122"/>
      <c r="E817" s="122"/>
      <c r="F817" s="15"/>
      <c r="G817" s="117"/>
      <c r="H817" s="220"/>
      <c r="J817" s="9"/>
    </row>
    <row r="818" spans="1:10" s="10" customFormat="1" x14ac:dyDescent="0.2">
      <c r="A818" s="165"/>
      <c r="B818" s="165"/>
      <c r="C818" s="16"/>
      <c r="D818" s="122"/>
      <c r="E818" s="122"/>
      <c r="F818" s="15"/>
      <c r="G818" s="117"/>
      <c r="H818" s="220"/>
      <c r="J818" s="9"/>
    </row>
    <row r="819" spans="1:10" s="10" customFormat="1" x14ac:dyDescent="0.2">
      <c r="A819" s="165"/>
      <c r="B819" s="165"/>
      <c r="C819" s="16"/>
      <c r="D819" s="122"/>
      <c r="E819" s="122"/>
      <c r="F819" s="15"/>
      <c r="G819" s="117"/>
      <c r="H819" s="220"/>
      <c r="J819" s="9"/>
    </row>
    <row r="820" spans="1:10" s="10" customFormat="1" x14ac:dyDescent="0.2">
      <c r="A820" s="165"/>
      <c r="B820" s="165"/>
      <c r="C820" s="16"/>
      <c r="D820" s="122"/>
      <c r="E820" s="122"/>
      <c r="F820" s="15"/>
      <c r="G820" s="117"/>
      <c r="H820" s="220"/>
      <c r="J820" s="9"/>
    </row>
    <row r="821" spans="1:10" s="10" customFormat="1" x14ac:dyDescent="0.2">
      <c r="A821" s="165"/>
      <c r="B821" s="165"/>
      <c r="C821" s="16"/>
      <c r="D821" s="122"/>
      <c r="E821" s="122"/>
      <c r="F821" s="15"/>
      <c r="G821" s="117"/>
      <c r="H821" s="220"/>
      <c r="J821" s="9"/>
    </row>
    <row r="822" spans="1:10" s="10" customFormat="1" x14ac:dyDescent="0.2">
      <c r="A822" s="165"/>
      <c r="B822" s="165"/>
      <c r="C822" s="16"/>
      <c r="D822" s="122"/>
      <c r="E822" s="122"/>
      <c r="F822" s="15"/>
      <c r="G822" s="117"/>
      <c r="H822" s="220"/>
      <c r="J822" s="9"/>
    </row>
    <row r="823" spans="1:10" s="10" customFormat="1" x14ac:dyDescent="0.2">
      <c r="A823" s="165"/>
      <c r="B823" s="165"/>
      <c r="C823" s="16"/>
      <c r="D823" s="122"/>
      <c r="E823" s="122"/>
      <c r="F823" s="15"/>
      <c r="G823" s="117"/>
      <c r="H823" s="220"/>
      <c r="J823" s="9"/>
    </row>
    <row r="824" spans="1:10" s="10" customFormat="1" x14ac:dyDescent="0.2">
      <c r="A824" s="165"/>
      <c r="B824" s="165"/>
      <c r="C824" s="16"/>
      <c r="D824" s="122"/>
      <c r="E824" s="122"/>
      <c r="F824" s="15"/>
      <c r="G824" s="117"/>
      <c r="H824" s="220"/>
      <c r="J824" s="9"/>
    </row>
    <row r="825" spans="1:10" s="10" customFormat="1" x14ac:dyDescent="0.2">
      <c r="A825" s="165"/>
      <c r="B825" s="165"/>
      <c r="C825" s="16"/>
      <c r="D825" s="122"/>
      <c r="E825" s="122"/>
      <c r="F825" s="15"/>
      <c r="G825" s="117"/>
      <c r="H825" s="220"/>
      <c r="J825" s="9"/>
    </row>
    <row r="826" spans="1:10" s="10" customFormat="1" x14ac:dyDescent="0.2">
      <c r="A826" s="165"/>
      <c r="B826" s="165"/>
      <c r="C826" s="16"/>
      <c r="D826" s="122"/>
      <c r="E826" s="122"/>
      <c r="F826" s="15"/>
      <c r="G826" s="117"/>
      <c r="H826" s="220"/>
      <c r="J826" s="9"/>
    </row>
    <row r="827" spans="1:10" s="10" customFormat="1" x14ac:dyDescent="0.2">
      <c r="A827" s="165"/>
      <c r="B827" s="165"/>
      <c r="C827" s="16"/>
      <c r="D827" s="122"/>
      <c r="E827" s="122"/>
      <c r="F827" s="15"/>
      <c r="G827" s="117"/>
      <c r="H827" s="220"/>
      <c r="J827" s="9"/>
    </row>
    <row r="828" spans="1:10" s="10" customFormat="1" x14ac:dyDescent="0.2">
      <c r="A828" s="165"/>
      <c r="B828" s="165"/>
      <c r="C828" s="16"/>
      <c r="D828" s="122"/>
      <c r="E828" s="122"/>
      <c r="F828" s="15"/>
      <c r="G828" s="117"/>
      <c r="H828" s="220"/>
      <c r="J828" s="9"/>
    </row>
    <row r="829" spans="1:10" s="10" customFormat="1" x14ac:dyDescent="0.2">
      <c r="A829" s="165"/>
      <c r="B829" s="165"/>
      <c r="C829" s="16"/>
      <c r="D829" s="122"/>
      <c r="E829" s="122"/>
      <c r="F829" s="15"/>
      <c r="G829" s="117"/>
      <c r="H829" s="220"/>
      <c r="J829" s="9"/>
    </row>
    <row r="830" spans="1:10" s="10" customFormat="1" x14ac:dyDescent="0.2">
      <c r="A830" s="165"/>
      <c r="B830" s="165"/>
      <c r="C830" s="16"/>
      <c r="D830" s="122"/>
      <c r="E830" s="122"/>
      <c r="F830" s="15"/>
      <c r="G830" s="117"/>
      <c r="H830" s="220"/>
      <c r="J830" s="9"/>
    </row>
    <row r="831" spans="1:10" s="10" customFormat="1" x14ac:dyDescent="0.2">
      <c r="A831" s="165"/>
      <c r="B831" s="165"/>
      <c r="C831" s="16"/>
      <c r="D831" s="122"/>
      <c r="E831" s="122"/>
      <c r="F831" s="15"/>
      <c r="G831" s="117"/>
      <c r="H831" s="220"/>
      <c r="J831" s="9"/>
    </row>
    <row r="832" spans="1:10" s="10" customFormat="1" x14ac:dyDescent="0.2">
      <c r="A832" s="165"/>
      <c r="B832" s="165"/>
      <c r="C832" s="16"/>
      <c r="D832" s="122"/>
      <c r="E832" s="122"/>
      <c r="F832" s="15"/>
      <c r="G832" s="117"/>
      <c r="H832" s="220"/>
      <c r="J832" s="9"/>
    </row>
    <row r="833" spans="1:10" s="10" customFormat="1" x14ac:dyDescent="0.2">
      <c r="A833" s="165"/>
      <c r="B833" s="165"/>
      <c r="C833" s="16"/>
      <c r="D833" s="122"/>
      <c r="E833" s="122"/>
      <c r="F833" s="15"/>
      <c r="G833" s="117"/>
      <c r="H833" s="220"/>
      <c r="J833" s="9"/>
    </row>
    <row r="834" spans="1:10" s="10" customFormat="1" x14ac:dyDescent="0.2">
      <c r="A834" s="165"/>
      <c r="B834" s="165"/>
      <c r="C834" s="16"/>
      <c r="D834" s="122"/>
      <c r="E834" s="122"/>
      <c r="F834" s="15"/>
      <c r="G834" s="117"/>
      <c r="H834" s="220"/>
      <c r="J834" s="9"/>
    </row>
    <row r="835" spans="1:10" s="10" customFormat="1" x14ac:dyDescent="0.2">
      <c r="A835" s="165"/>
      <c r="B835" s="165"/>
      <c r="C835" s="16"/>
      <c r="D835" s="122"/>
      <c r="E835" s="122"/>
      <c r="F835" s="15"/>
      <c r="G835" s="117"/>
      <c r="H835" s="220"/>
      <c r="J835" s="9"/>
    </row>
    <row r="836" spans="1:10" s="10" customFormat="1" x14ac:dyDescent="0.2">
      <c r="A836" s="165"/>
      <c r="B836" s="165"/>
      <c r="C836" s="16"/>
      <c r="D836" s="122"/>
      <c r="E836" s="122"/>
      <c r="F836" s="15"/>
      <c r="G836" s="117"/>
      <c r="H836" s="220"/>
      <c r="J836" s="9"/>
    </row>
    <row r="837" spans="1:10" s="10" customFormat="1" x14ac:dyDescent="0.2">
      <c r="A837" s="165"/>
      <c r="B837" s="165"/>
      <c r="C837" s="16"/>
      <c r="D837" s="122"/>
      <c r="E837" s="122"/>
      <c r="F837" s="15"/>
      <c r="G837" s="117"/>
      <c r="H837" s="220"/>
      <c r="J837" s="9"/>
    </row>
    <row r="838" spans="1:10" s="10" customFormat="1" x14ac:dyDescent="0.2">
      <c r="A838" s="165"/>
      <c r="B838" s="165"/>
      <c r="C838" s="16"/>
      <c r="D838" s="122"/>
      <c r="E838" s="122"/>
      <c r="F838" s="15"/>
      <c r="G838" s="117"/>
      <c r="H838" s="220"/>
      <c r="J838" s="9"/>
    </row>
    <row r="839" spans="1:10" s="10" customFormat="1" x14ac:dyDescent="0.2">
      <c r="A839" s="165"/>
      <c r="B839" s="165"/>
      <c r="C839" s="16"/>
      <c r="D839" s="122"/>
      <c r="E839" s="122"/>
      <c r="F839" s="15"/>
      <c r="G839" s="117"/>
      <c r="H839" s="220"/>
      <c r="J839" s="9"/>
    </row>
    <row r="840" spans="1:10" s="10" customFormat="1" x14ac:dyDescent="0.2">
      <c r="A840" s="165"/>
      <c r="B840" s="165"/>
      <c r="C840" s="16"/>
      <c r="D840" s="122"/>
      <c r="E840" s="122"/>
      <c r="F840" s="15"/>
      <c r="G840" s="117"/>
      <c r="H840" s="220"/>
      <c r="J840" s="9"/>
    </row>
    <row r="841" spans="1:10" s="10" customFormat="1" x14ac:dyDescent="0.2">
      <c r="A841" s="165"/>
      <c r="B841" s="165"/>
      <c r="C841" s="16"/>
      <c r="D841" s="122"/>
      <c r="E841" s="122"/>
      <c r="F841" s="15"/>
      <c r="G841" s="117"/>
      <c r="H841" s="220"/>
      <c r="J841" s="9"/>
    </row>
    <row r="842" spans="1:10" s="10" customFormat="1" x14ac:dyDescent="0.2">
      <c r="A842" s="165"/>
      <c r="B842" s="165"/>
      <c r="C842" s="16"/>
      <c r="D842" s="122"/>
      <c r="E842" s="122"/>
      <c r="F842" s="15"/>
      <c r="G842" s="117"/>
      <c r="H842" s="220"/>
      <c r="J842" s="9"/>
    </row>
    <row r="843" spans="1:10" s="10" customFormat="1" x14ac:dyDescent="0.2">
      <c r="A843" s="165"/>
      <c r="B843" s="165"/>
      <c r="C843" s="16"/>
      <c r="D843" s="122"/>
      <c r="E843" s="122"/>
      <c r="F843" s="15"/>
      <c r="G843" s="117"/>
      <c r="H843" s="220"/>
      <c r="J843" s="9"/>
    </row>
    <row r="844" spans="1:10" s="10" customFormat="1" x14ac:dyDescent="0.2">
      <c r="A844" s="165"/>
      <c r="B844" s="165"/>
      <c r="C844" s="16"/>
      <c r="D844" s="122"/>
      <c r="E844" s="122"/>
      <c r="F844" s="15"/>
      <c r="G844" s="117"/>
      <c r="H844" s="220"/>
      <c r="J844" s="9"/>
    </row>
    <row r="845" spans="1:10" s="10" customFormat="1" x14ac:dyDescent="0.2">
      <c r="A845" s="165"/>
      <c r="B845" s="165"/>
      <c r="C845" s="16"/>
      <c r="D845" s="122"/>
      <c r="E845" s="122"/>
      <c r="F845" s="15"/>
      <c r="G845" s="117"/>
      <c r="H845" s="220"/>
      <c r="J845" s="9"/>
    </row>
    <row r="846" spans="1:10" s="10" customFormat="1" x14ac:dyDescent="0.2">
      <c r="A846" s="165"/>
      <c r="B846" s="165"/>
      <c r="C846" s="16"/>
      <c r="D846" s="122"/>
      <c r="E846" s="122"/>
      <c r="F846" s="15"/>
      <c r="G846" s="117"/>
      <c r="H846" s="220"/>
      <c r="J846" s="9"/>
    </row>
    <row r="847" spans="1:10" s="10" customFormat="1" x14ac:dyDescent="0.2">
      <c r="A847" s="165"/>
      <c r="B847" s="165"/>
      <c r="C847" s="16"/>
      <c r="D847" s="122"/>
      <c r="E847" s="122"/>
      <c r="F847" s="15"/>
      <c r="G847" s="117"/>
      <c r="H847" s="220"/>
      <c r="J847" s="9"/>
    </row>
    <row r="848" spans="1:10" s="10" customFormat="1" x14ac:dyDescent="0.2">
      <c r="A848" s="165"/>
      <c r="B848" s="165"/>
      <c r="C848" s="16"/>
      <c r="D848" s="122"/>
      <c r="E848" s="122"/>
      <c r="F848" s="15"/>
      <c r="G848" s="117"/>
      <c r="H848" s="220"/>
      <c r="J848" s="9"/>
    </row>
    <row r="849" spans="1:10" s="10" customFormat="1" x14ac:dyDescent="0.2">
      <c r="A849" s="165"/>
      <c r="B849" s="165"/>
      <c r="C849" s="16"/>
      <c r="D849" s="122"/>
      <c r="E849" s="122"/>
      <c r="F849" s="15"/>
      <c r="G849" s="117"/>
      <c r="H849" s="220"/>
      <c r="J849" s="9"/>
    </row>
    <row r="850" spans="1:10" s="10" customFormat="1" x14ac:dyDescent="0.2">
      <c r="A850" s="165"/>
      <c r="B850" s="165"/>
      <c r="C850" s="16"/>
      <c r="D850" s="122"/>
      <c r="E850" s="122"/>
      <c r="F850" s="15"/>
      <c r="G850" s="117"/>
      <c r="H850" s="220"/>
      <c r="J850" s="9"/>
    </row>
    <row r="851" spans="1:10" s="10" customFormat="1" x14ac:dyDescent="0.2">
      <c r="A851" s="165"/>
      <c r="B851" s="165"/>
      <c r="C851" s="16"/>
      <c r="D851" s="122"/>
      <c r="E851" s="122"/>
      <c r="F851" s="15"/>
      <c r="G851" s="117"/>
      <c r="H851" s="220"/>
      <c r="J851" s="9"/>
    </row>
    <row r="852" spans="1:10" s="10" customFormat="1" x14ac:dyDescent="0.2">
      <c r="A852" s="165"/>
      <c r="B852" s="165"/>
      <c r="C852" s="16"/>
      <c r="D852" s="122"/>
      <c r="E852" s="122"/>
      <c r="F852" s="15"/>
      <c r="G852" s="117"/>
      <c r="H852" s="220"/>
      <c r="J852" s="9"/>
    </row>
    <row r="853" spans="1:10" s="10" customFormat="1" x14ac:dyDescent="0.2">
      <c r="A853" s="165"/>
      <c r="B853" s="165"/>
      <c r="C853" s="16"/>
      <c r="D853" s="122"/>
      <c r="E853" s="122"/>
      <c r="F853" s="15"/>
      <c r="G853" s="117"/>
      <c r="H853" s="220"/>
      <c r="J853" s="9"/>
    </row>
    <row r="854" spans="1:10" s="10" customFormat="1" x14ac:dyDescent="0.2">
      <c r="A854" s="165"/>
      <c r="B854" s="165"/>
      <c r="C854" s="16"/>
      <c r="D854" s="122"/>
      <c r="E854" s="122"/>
      <c r="F854" s="15"/>
      <c r="G854" s="117"/>
      <c r="H854" s="220"/>
      <c r="J854" s="9"/>
    </row>
    <row r="855" spans="1:10" s="10" customFormat="1" x14ac:dyDescent="0.2">
      <c r="A855" s="165"/>
      <c r="B855" s="165"/>
      <c r="C855" s="16"/>
      <c r="D855" s="122"/>
      <c r="E855" s="122"/>
      <c r="F855" s="15"/>
      <c r="G855" s="117"/>
      <c r="H855" s="220"/>
      <c r="J855" s="9"/>
    </row>
    <row r="856" spans="1:10" s="10" customFormat="1" x14ac:dyDescent="0.2">
      <c r="A856" s="165"/>
      <c r="B856" s="165"/>
      <c r="C856" s="16"/>
      <c r="D856" s="122"/>
      <c r="E856" s="122"/>
      <c r="F856" s="15"/>
      <c r="G856" s="117"/>
      <c r="H856" s="220"/>
      <c r="J856" s="9"/>
    </row>
    <row r="857" spans="1:10" s="10" customFormat="1" x14ac:dyDescent="0.2">
      <c r="A857" s="165"/>
      <c r="B857" s="165"/>
      <c r="C857" s="16"/>
      <c r="D857" s="122"/>
      <c r="E857" s="122"/>
      <c r="F857" s="15"/>
      <c r="G857" s="117"/>
      <c r="H857" s="220"/>
      <c r="J857" s="9"/>
    </row>
    <row r="858" spans="1:10" s="10" customFormat="1" x14ac:dyDescent="0.2">
      <c r="A858" s="165"/>
      <c r="B858" s="165"/>
      <c r="C858" s="16"/>
      <c r="D858" s="122"/>
      <c r="E858" s="122"/>
      <c r="F858" s="15"/>
      <c r="G858" s="117"/>
      <c r="H858" s="220"/>
      <c r="J858" s="9"/>
    </row>
    <row r="859" spans="1:10" s="10" customFormat="1" x14ac:dyDescent="0.2">
      <c r="A859" s="165"/>
      <c r="B859" s="165"/>
      <c r="C859" s="16"/>
      <c r="D859" s="122"/>
      <c r="E859" s="122"/>
      <c r="F859" s="15"/>
      <c r="G859" s="117"/>
      <c r="H859" s="220"/>
      <c r="J859" s="9"/>
    </row>
    <row r="860" spans="1:10" s="10" customFormat="1" x14ac:dyDescent="0.2">
      <c r="A860" s="165"/>
      <c r="B860" s="165"/>
      <c r="C860" s="16"/>
      <c r="D860" s="122"/>
      <c r="E860" s="122"/>
      <c r="F860" s="15"/>
      <c r="G860" s="117"/>
      <c r="H860" s="220"/>
      <c r="J860" s="9"/>
    </row>
    <row r="861" spans="1:10" s="10" customFormat="1" x14ac:dyDescent="0.2">
      <c r="A861" s="165"/>
      <c r="B861" s="165"/>
      <c r="C861" s="16"/>
      <c r="D861" s="122"/>
      <c r="E861" s="122"/>
      <c r="F861" s="15"/>
      <c r="G861" s="117"/>
      <c r="H861" s="220"/>
      <c r="J861" s="9"/>
    </row>
    <row r="862" spans="1:10" s="10" customFormat="1" x14ac:dyDescent="0.2">
      <c r="A862" s="165"/>
      <c r="B862" s="165"/>
      <c r="C862" s="16"/>
      <c r="D862" s="122"/>
      <c r="E862" s="122"/>
      <c r="F862" s="15"/>
      <c r="G862" s="117"/>
      <c r="H862" s="220"/>
      <c r="J862" s="9"/>
    </row>
    <row r="863" spans="1:10" s="10" customFormat="1" x14ac:dyDescent="0.2">
      <c r="A863" s="165"/>
      <c r="B863" s="165"/>
      <c r="C863" s="16"/>
      <c r="D863" s="122"/>
      <c r="E863" s="122"/>
      <c r="F863" s="15"/>
      <c r="G863" s="117"/>
      <c r="H863" s="220"/>
      <c r="J863" s="9"/>
    </row>
    <row r="864" spans="1:10" s="10" customFormat="1" x14ac:dyDescent="0.2">
      <c r="A864" s="165"/>
      <c r="B864" s="165"/>
      <c r="C864" s="16"/>
      <c r="D864" s="122"/>
      <c r="E864" s="122"/>
      <c r="F864" s="15"/>
      <c r="G864" s="117"/>
      <c r="H864" s="220"/>
      <c r="J864" s="9"/>
    </row>
    <row r="865" spans="1:10" s="10" customFormat="1" x14ac:dyDescent="0.2">
      <c r="A865" s="165"/>
      <c r="B865" s="165"/>
      <c r="C865" s="16"/>
      <c r="D865" s="122"/>
      <c r="E865" s="122"/>
      <c r="F865" s="15"/>
      <c r="G865" s="117"/>
      <c r="H865" s="220"/>
      <c r="J865" s="9"/>
    </row>
    <row r="866" spans="1:10" s="10" customFormat="1" x14ac:dyDescent="0.2">
      <c r="A866" s="165"/>
      <c r="B866" s="165"/>
      <c r="C866" s="16"/>
      <c r="D866" s="122"/>
      <c r="E866" s="122"/>
      <c r="F866" s="15"/>
      <c r="G866" s="117"/>
      <c r="H866" s="220"/>
      <c r="J866" s="9"/>
    </row>
    <row r="867" spans="1:10" s="10" customFormat="1" x14ac:dyDescent="0.2">
      <c r="A867" s="165"/>
      <c r="B867" s="165"/>
      <c r="C867" s="16"/>
      <c r="D867" s="122"/>
      <c r="E867" s="122"/>
      <c r="F867" s="15"/>
      <c r="G867" s="117"/>
      <c r="H867" s="220"/>
      <c r="J867" s="9"/>
    </row>
    <row r="868" spans="1:10" s="10" customFormat="1" x14ac:dyDescent="0.2">
      <c r="A868" s="165"/>
      <c r="B868" s="165"/>
      <c r="C868" s="16"/>
      <c r="D868" s="122"/>
      <c r="E868" s="122"/>
      <c r="F868" s="15"/>
      <c r="G868" s="117"/>
      <c r="H868" s="220"/>
      <c r="J868" s="9"/>
    </row>
    <row r="869" spans="1:10" s="10" customFormat="1" x14ac:dyDescent="0.2">
      <c r="A869" s="165"/>
      <c r="B869" s="165"/>
      <c r="C869" s="16"/>
      <c r="D869" s="122"/>
      <c r="E869" s="122"/>
      <c r="F869" s="15"/>
      <c r="G869" s="117"/>
      <c r="H869" s="220"/>
      <c r="J869" s="9"/>
    </row>
    <row r="870" spans="1:10" s="10" customFormat="1" x14ac:dyDescent="0.2">
      <c r="A870" s="165"/>
      <c r="B870" s="165"/>
      <c r="C870" s="16"/>
      <c r="D870" s="122"/>
      <c r="E870" s="122"/>
      <c r="F870" s="15"/>
      <c r="G870" s="117"/>
      <c r="H870" s="220"/>
      <c r="J870" s="9"/>
    </row>
    <row r="871" spans="1:10" s="10" customFormat="1" x14ac:dyDescent="0.2">
      <c r="A871" s="165"/>
      <c r="B871" s="165"/>
      <c r="C871" s="16"/>
      <c r="D871" s="122"/>
      <c r="E871" s="122"/>
      <c r="F871" s="15"/>
      <c r="G871" s="117"/>
      <c r="H871" s="220"/>
      <c r="J871" s="9"/>
    </row>
    <row r="872" spans="1:10" s="10" customFormat="1" x14ac:dyDescent="0.2">
      <c r="A872" s="165"/>
      <c r="B872" s="165"/>
      <c r="C872" s="16"/>
      <c r="D872" s="122"/>
      <c r="E872" s="122"/>
      <c r="F872" s="15"/>
      <c r="G872" s="117"/>
      <c r="H872" s="220"/>
      <c r="J872" s="9"/>
    </row>
    <row r="873" spans="1:10" s="10" customFormat="1" x14ac:dyDescent="0.2">
      <c r="A873" s="165"/>
      <c r="B873" s="165"/>
      <c r="C873" s="16"/>
      <c r="D873" s="122"/>
      <c r="E873" s="122"/>
      <c r="F873" s="15"/>
      <c r="G873" s="117"/>
      <c r="H873" s="220"/>
      <c r="J873" s="9"/>
    </row>
    <row r="874" spans="1:10" s="10" customFormat="1" x14ac:dyDescent="0.2">
      <c r="A874" s="165"/>
      <c r="B874" s="165"/>
      <c r="C874" s="16"/>
      <c r="D874" s="122"/>
      <c r="E874" s="122"/>
      <c r="F874" s="15"/>
      <c r="G874" s="117"/>
      <c r="H874" s="220"/>
      <c r="J874" s="9"/>
    </row>
    <row r="875" spans="1:10" s="10" customFormat="1" x14ac:dyDescent="0.2">
      <c r="A875" s="165"/>
      <c r="B875" s="165"/>
      <c r="C875" s="16"/>
      <c r="D875" s="122"/>
      <c r="E875" s="122"/>
      <c r="F875" s="15"/>
      <c r="G875" s="117"/>
      <c r="H875" s="220"/>
      <c r="J875" s="9"/>
    </row>
    <row r="876" spans="1:10" s="10" customFormat="1" x14ac:dyDescent="0.2">
      <c r="A876" s="165"/>
      <c r="B876" s="165"/>
      <c r="C876" s="16"/>
      <c r="D876" s="122"/>
      <c r="E876" s="122"/>
      <c r="F876" s="15"/>
      <c r="G876" s="117"/>
      <c r="H876" s="220"/>
      <c r="J876" s="9"/>
    </row>
    <row r="877" spans="1:10" s="10" customFormat="1" x14ac:dyDescent="0.2">
      <c r="A877" s="165"/>
      <c r="B877" s="165"/>
      <c r="C877" s="16"/>
      <c r="D877" s="122"/>
      <c r="E877" s="122"/>
      <c r="F877" s="15"/>
      <c r="G877" s="117"/>
      <c r="H877" s="220"/>
      <c r="J877" s="9"/>
    </row>
    <row r="878" spans="1:10" s="10" customFormat="1" x14ac:dyDescent="0.2">
      <c r="A878" s="165"/>
      <c r="B878" s="165"/>
      <c r="C878" s="16"/>
      <c r="D878" s="122"/>
      <c r="E878" s="122"/>
      <c r="F878" s="15"/>
      <c r="G878" s="117"/>
      <c r="H878" s="220"/>
      <c r="J878" s="9"/>
    </row>
    <row r="879" spans="1:10" s="10" customFormat="1" x14ac:dyDescent="0.2">
      <c r="A879" s="165"/>
      <c r="B879" s="165"/>
      <c r="C879" s="16"/>
      <c r="D879" s="122"/>
      <c r="E879" s="122"/>
      <c r="F879" s="15"/>
      <c r="G879" s="117"/>
      <c r="H879" s="220"/>
      <c r="J879" s="9"/>
    </row>
    <row r="880" spans="1:10" s="10" customFormat="1" x14ac:dyDescent="0.2">
      <c r="A880" s="165"/>
      <c r="B880" s="165"/>
      <c r="C880" s="16"/>
      <c r="D880" s="122"/>
      <c r="E880" s="122"/>
      <c r="F880" s="15"/>
      <c r="G880" s="117"/>
      <c r="H880" s="220"/>
      <c r="J880" s="9"/>
    </row>
    <row r="881" spans="1:10" s="10" customFormat="1" x14ac:dyDescent="0.2">
      <c r="A881" s="165"/>
      <c r="B881" s="165"/>
      <c r="C881" s="16"/>
      <c r="D881" s="122"/>
      <c r="E881" s="122"/>
      <c r="F881" s="15"/>
      <c r="G881" s="117"/>
      <c r="H881" s="220"/>
      <c r="J881" s="9"/>
    </row>
    <row r="882" spans="1:10" s="10" customFormat="1" x14ac:dyDescent="0.2">
      <c r="A882" s="165"/>
      <c r="B882" s="165"/>
      <c r="C882" s="16"/>
      <c r="D882" s="122"/>
      <c r="E882" s="122"/>
      <c r="F882" s="15"/>
      <c r="G882" s="117"/>
      <c r="H882" s="220"/>
      <c r="J882" s="9"/>
    </row>
    <row r="883" spans="1:10" s="10" customFormat="1" x14ac:dyDescent="0.2">
      <c r="A883" s="165"/>
      <c r="B883" s="165"/>
      <c r="C883" s="16"/>
      <c r="D883" s="122"/>
      <c r="E883" s="122"/>
      <c r="F883" s="15"/>
      <c r="G883" s="117"/>
      <c r="H883" s="220"/>
      <c r="J883" s="9"/>
    </row>
    <row r="884" spans="1:10" s="10" customFormat="1" x14ac:dyDescent="0.2">
      <c r="A884" s="165"/>
      <c r="B884" s="165"/>
      <c r="C884" s="16"/>
      <c r="D884" s="122"/>
      <c r="E884" s="122"/>
      <c r="F884" s="15"/>
      <c r="G884" s="117"/>
      <c r="H884" s="220"/>
      <c r="J884" s="9"/>
    </row>
    <row r="885" spans="1:10" s="10" customFormat="1" x14ac:dyDescent="0.2">
      <c r="A885" s="165"/>
      <c r="B885" s="165"/>
      <c r="C885" s="16"/>
      <c r="D885" s="122"/>
      <c r="E885" s="122"/>
      <c r="F885" s="15"/>
      <c r="G885" s="117"/>
      <c r="H885" s="220"/>
      <c r="J885" s="9"/>
    </row>
    <row r="886" spans="1:10" s="10" customFormat="1" x14ac:dyDescent="0.2">
      <c r="A886" s="165"/>
      <c r="B886" s="165"/>
      <c r="C886" s="16"/>
      <c r="D886" s="122"/>
      <c r="E886" s="122"/>
      <c r="F886" s="15"/>
      <c r="G886" s="117"/>
      <c r="H886" s="220"/>
      <c r="J886" s="9"/>
    </row>
    <row r="887" spans="1:10" s="10" customFormat="1" x14ac:dyDescent="0.2">
      <c r="A887" s="165"/>
      <c r="B887" s="165"/>
      <c r="C887" s="16"/>
      <c r="D887" s="122"/>
      <c r="E887" s="122"/>
      <c r="F887" s="15"/>
      <c r="G887" s="117"/>
      <c r="H887" s="220"/>
      <c r="J887" s="9"/>
    </row>
    <row r="888" spans="1:10" s="10" customFormat="1" x14ac:dyDescent="0.2">
      <c r="A888" s="165"/>
      <c r="B888" s="165"/>
      <c r="C888" s="16"/>
      <c r="D888" s="122"/>
      <c r="E888" s="122"/>
      <c r="F888" s="15"/>
      <c r="G888" s="117"/>
      <c r="H888" s="220"/>
      <c r="J888" s="9"/>
    </row>
    <row r="889" spans="1:10" s="10" customFormat="1" x14ac:dyDescent="0.2">
      <c r="A889" s="165"/>
      <c r="B889" s="165"/>
      <c r="C889" s="16"/>
      <c r="D889" s="122"/>
      <c r="E889" s="122"/>
      <c r="F889" s="15"/>
      <c r="G889" s="117"/>
      <c r="H889" s="220"/>
      <c r="J889" s="9"/>
    </row>
    <row r="890" spans="1:10" s="10" customFormat="1" x14ac:dyDescent="0.2">
      <c r="A890" s="165"/>
      <c r="B890" s="165"/>
      <c r="C890" s="16"/>
      <c r="D890" s="122"/>
      <c r="E890" s="122"/>
      <c r="F890" s="15"/>
      <c r="G890" s="117"/>
      <c r="H890" s="220"/>
      <c r="J890" s="9"/>
    </row>
    <row r="891" spans="1:10" s="10" customFormat="1" x14ac:dyDescent="0.2">
      <c r="A891" s="165"/>
      <c r="B891" s="165"/>
      <c r="C891" s="16"/>
      <c r="D891" s="122"/>
      <c r="E891" s="122"/>
      <c r="F891" s="15"/>
      <c r="G891" s="117"/>
      <c r="H891" s="220"/>
      <c r="J891" s="9"/>
    </row>
    <row r="892" spans="1:10" s="10" customFormat="1" x14ac:dyDescent="0.2">
      <c r="A892" s="165"/>
      <c r="B892" s="165"/>
      <c r="C892" s="16"/>
      <c r="D892" s="122"/>
      <c r="E892" s="122"/>
      <c r="F892" s="15"/>
      <c r="G892" s="117"/>
      <c r="H892" s="220"/>
      <c r="J892" s="9"/>
    </row>
    <row r="893" spans="1:10" s="10" customFormat="1" x14ac:dyDescent="0.2">
      <c r="A893" s="165"/>
      <c r="B893" s="165"/>
      <c r="C893" s="16"/>
      <c r="D893" s="122"/>
      <c r="E893" s="122"/>
      <c r="F893" s="15"/>
      <c r="G893" s="117"/>
      <c r="H893" s="220"/>
      <c r="J893" s="9"/>
    </row>
    <row r="894" spans="1:10" s="10" customFormat="1" x14ac:dyDescent="0.2">
      <c r="A894" s="165"/>
      <c r="B894" s="165"/>
      <c r="C894" s="16"/>
      <c r="D894" s="122"/>
      <c r="E894" s="122"/>
      <c r="F894" s="15"/>
      <c r="G894" s="117"/>
      <c r="H894" s="220"/>
      <c r="J894" s="9"/>
    </row>
    <row r="895" spans="1:10" s="10" customFormat="1" x14ac:dyDescent="0.2">
      <c r="A895" s="165"/>
      <c r="B895" s="165"/>
      <c r="C895" s="16"/>
      <c r="D895" s="122"/>
      <c r="E895" s="122"/>
      <c r="F895" s="15"/>
      <c r="G895" s="117"/>
      <c r="H895" s="220"/>
      <c r="J895" s="9"/>
    </row>
    <row r="896" spans="1:10" s="10" customFormat="1" x14ac:dyDescent="0.2">
      <c r="A896" s="165"/>
      <c r="B896" s="165"/>
      <c r="C896" s="16"/>
      <c r="D896" s="122"/>
      <c r="E896" s="122"/>
      <c r="F896" s="15"/>
      <c r="G896" s="117"/>
      <c r="H896" s="220"/>
      <c r="J896" s="9"/>
    </row>
    <row r="897" spans="1:10" s="10" customFormat="1" x14ac:dyDescent="0.2">
      <c r="A897" s="165"/>
      <c r="B897" s="165"/>
      <c r="C897" s="16"/>
      <c r="D897" s="122"/>
      <c r="E897" s="122"/>
      <c r="F897" s="15"/>
      <c r="G897" s="117"/>
      <c r="H897" s="220"/>
      <c r="J897" s="9"/>
    </row>
    <row r="898" spans="1:10" s="10" customFormat="1" x14ac:dyDescent="0.2">
      <c r="A898" s="165"/>
      <c r="B898" s="165"/>
      <c r="C898" s="16"/>
      <c r="D898" s="122"/>
      <c r="E898" s="122"/>
      <c r="F898" s="15"/>
      <c r="G898" s="117"/>
      <c r="H898" s="220"/>
      <c r="J898" s="9"/>
    </row>
    <row r="899" spans="1:10" s="10" customFormat="1" x14ac:dyDescent="0.2">
      <c r="A899" s="165"/>
      <c r="B899" s="165"/>
      <c r="C899" s="16"/>
      <c r="D899" s="122"/>
      <c r="E899" s="122"/>
      <c r="F899" s="15"/>
      <c r="G899" s="117"/>
      <c r="H899" s="220"/>
      <c r="J899" s="9"/>
    </row>
    <row r="900" spans="1:10" s="10" customFormat="1" x14ac:dyDescent="0.2">
      <c r="A900" s="165"/>
      <c r="B900" s="165"/>
      <c r="C900" s="16"/>
      <c r="D900" s="122"/>
      <c r="E900" s="122"/>
      <c r="F900" s="15"/>
      <c r="G900" s="117"/>
      <c r="H900" s="220"/>
      <c r="J900" s="9"/>
    </row>
    <row r="901" spans="1:10" s="10" customFormat="1" x14ac:dyDescent="0.2">
      <c r="A901" s="165"/>
      <c r="B901" s="165"/>
      <c r="C901" s="16"/>
      <c r="D901" s="122"/>
      <c r="E901" s="122"/>
      <c r="F901" s="15"/>
      <c r="G901" s="117"/>
      <c r="H901" s="220"/>
      <c r="J901" s="9"/>
    </row>
    <row r="902" spans="1:10" s="10" customFormat="1" x14ac:dyDescent="0.2">
      <c r="A902" s="165"/>
      <c r="B902" s="165"/>
      <c r="C902" s="16"/>
      <c r="D902" s="122"/>
      <c r="E902" s="122"/>
      <c r="F902" s="15"/>
      <c r="G902" s="117"/>
      <c r="H902" s="220"/>
      <c r="J902" s="9"/>
    </row>
    <row r="903" spans="1:10" s="10" customFormat="1" x14ac:dyDescent="0.2">
      <c r="A903" s="165"/>
      <c r="B903" s="165"/>
      <c r="C903" s="16"/>
      <c r="D903" s="122"/>
      <c r="E903" s="122"/>
      <c r="F903" s="15"/>
      <c r="G903" s="117"/>
      <c r="H903" s="220"/>
      <c r="J903" s="9"/>
    </row>
    <row r="904" spans="1:10" s="10" customFormat="1" x14ac:dyDescent="0.2">
      <c r="A904" s="165"/>
      <c r="B904" s="165"/>
      <c r="C904" s="16"/>
      <c r="D904" s="122"/>
      <c r="E904" s="122"/>
      <c r="F904" s="15"/>
      <c r="G904" s="117"/>
      <c r="H904" s="220"/>
      <c r="J904" s="9"/>
    </row>
    <row r="905" spans="1:10" s="10" customFormat="1" x14ac:dyDescent="0.2">
      <c r="A905" s="165"/>
      <c r="B905" s="165"/>
      <c r="C905" s="16"/>
      <c r="D905" s="122"/>
      <c r="E905" s="122"/>
      <c r="F905" s="15"/>
      <c r="G905" s="117"/>
      <c r="H905" s="220"/>
      <c r="J905" s="9"/>
    </row>
    <row r="906" spans="1:10" s="10" customFormat="1" x14ac:dyDescent="0.2">
      <c r="A906" s="165"/>
      <c r="B906" s="165"/>
      <c r="C906" s="16"/>
      <c r="D906" s="122"/>
      <c r="E906" s="122"/>
      <c r="F906" s="15"/>
      <c r="G906" s="117"/>
      <c r="H906" s="220"/>
      <c r="J906" s="9"/>
    </row>
    <row r="907" spans="1:10" s="10" customFormat="1" x14ac:dyDescent="0.2">
      <c r="A907" s="165"/>
      <c r="B907" s="165"/>
      <c r="C907" s="16"/>
      <c r="D907" s="122"/>
      <c r="E907" s="122"/>
      <c r="F907" s="15"/>
      <c r="G907" s="117"/>
      <c r="H907" s="220"/>
      <c r="J907" s="9"/>
    </row>
    <row r="908" spans="1:10" s="10" customFormat="1" x14ac:dyDescent="0.2">
      <c r="A908" s="165"/>
      <c r="B908" s="165"/>
      <c r="C908" s="16"/>
      <c r="D908" s="122"/>
      <c r="E908" s="122"/>
      <c r="F908" s="15"/>
      <c r="G908" s="117"/>
      <c r="H908" s="220"/>
      <c r="J908" s="9"/>
    </row>
    <row r="909" spans="1:10" s="10" customFormat="1" x14ac:dyDescent="0.2">
      <c r="A909" s="165"/>
      <c r="B909" s="165"/>
      <c r="C909" s="16"/>
      <c r="D909" s="122"/>
      <c r="E909" s="122"/>
      <c r="F909" s="15"/>
      <c r="G909" s="117"/>
      <c r="H909" s="220"/>
      <c r="J909" s="9"/>
    </row>
    <row r="910" spans="1:10" s="10" customFormat="1" x14ac:dyDescent="0.2">
      <c r="A910" s="165"/>
      <c r="B910" s="165"/>
      <c r="C910" s="16"/>
      <c r="D910" s="122"/>
      <c r="E910" s="122"/>
      <c r="F910" s="15"/>
      <c r="G910" s="117"/>
      <c r="H910" s="220"/>
      <c r="J910" s="9"/>
    </row>
    <row r="911" spans="1:10" s="10" customFormat="1" x14ac:dyDescent="0.2">
      <c r="A911" s="165"/>
      <c r="B911" s="165"/>
      <c r="C911" s="16"/>
      <c r="D911" s="122"/>
      <c r="E911" s="122"/>
      <c r="F911" s="15"/>
      <c r="G911" s="117"/>
      <c r="H911" s="220"/>
      <c r="J911" s="9"/>
    </row>
    <row r="912" spans="1:10" s="10" customFormat="1" x14ac:dyDescent="0.2">
      <c r="A912" s="165"/>
      <c r="B912" s="165"/>
      <c r="C912" s="16"/>
      <c r="D912" s="122"/>
      <c r="E912" s="122"/>
      <c r="F912" s="15"/>
      <c r="G912" s="117"/>
      <c r="H912" s="220"/>
      <c r="J912" s="9"/>
    </row>
    <row r="913" spans="1:10" s="10" customFormat="1" x14ac:dyDescent="0.2">
      <c r="A913" s="165"/>
      <c r="B913" s="165"/>
      <c r="C913" s="16"/>
      <c r="D913" s="122"/>
      <c r="E913" s="122"/>
      <c r="F913" s="15"/>
      <c r="G913" s="117"/>
      <c r="H913" s="220"/>
      <c r="J913" s="9"/>
    </row>
    <row r="914" spans="1:10" s="10" customFormat="1" x14ac:dyDescent="0.2">
      <c r="A914" s="165"/>
      <c r="B914" s="165"/>
      <c r="C914" s="16"/>
      <c r="D914" s="122"/>
      <c r="E914" s="122"/>
      <c r="F914" s="15"/>
      <c r="G914" s="117"/>
      <c r="H914" s="220"/>
      <c r="J914" s="9"/>
    </row>
    <row r="915" spans="1:10" s="10" customFormat="1" x14ac:dyDescent="0.2">
      <c r="A915" s="165"/>
      <c r="B915" s="165"/>
      <c r="C915" s="16"/>
      <c r="D915" s="122"/>
      <c r="E915" s="122"/>
      <c r="F915" s="15"/>
      <c r="G915" s="117"/>
      <c r="H915" s="220"/>
      <c r="J915" s="9"/>
    </row>
    <row r="916" spans="1:10" s="10" customFormat="1" x14ac:dyDescent="0.2">
      <c r="A916" s="165"/>
      <c r="B916" s="165"/>
      <c r="C916" s="16"/>
      <c r="D916" s="122"/>
      <c r="E916" s="122"/>
      <c r="F916" s="15"/>
      <c r="G916" s="117"/>
      <c r="H916" s="220"/>
      <c r="J916" s="9"/>
    </row>
    <row r="917" spans="1:10" s="10" customFormat="1" x14ac:dyDescent="0.2">
      <c r="A917" s="165"/>
      <c r="B917" s="165"/>
      <c r="C917" s="16"/>
      <c r="D917" s="122"/>
      <c r="E917" s="122"/>
      <c r="F917" s="15"/>
      <c r="G917" s="117"/>
      <c r="H917" s="220"/>
      <c r="J917" s="9"/>
    </row>
    <row r="918" spans="1:10" s="10" customFormat="1" x14ac:dyDescent="0.2">
      <c r="A918" s="165"/>
      <c r="B918" s="165"/>
      <c r="C918" s="16"/>
      <c r="D918" s="122"/>
      <c r="E918" s="122"/>
      <c r="F918" s="15"/>
      <c r="G918" s="117"/>
      <c r="H918" s="220"/>
      <c r="J918" s="9"/>
    </row>
    <row r="919" spans="1:10" s="10" customFormat="1" x14ac:dyDescent="0.2">
      <c r="A919" s="165"/>
      <c r="B919" s="165"/>
      <c r="C919" s="16"/>
      <c r="D919" s="122"/>
      <c r="E919" s="122"/>
      <c r="F919" s="15"/>
      <c r="G919" s="117"/>
      <c r="H919" s="220"/>
      <c r="J919" s="9"/>
    </row>
    <row r="920" spans="1:10" s="10" customFormat="1" x14ac:dyDescent="0.2">
      <c r="A920" s="165"/>
      <c r="B920" s="165"/>
      <c r="C920" s="16"/>
      <c r="D920" s="122"/>
      <c r="E920" s="122"/>
      <c r="F920" s="15"/>
      <c r="G920" s="117"/>
      <c r="H920" s="220"/>
      <c r="J920" s="9"/>
    </row>
    <row r="921" spans="1:10" s="10" customFormat="1" x14ac:dyDescent="0.2">
      <c r="A921" s="165"/>
      <c r="B921" s="165"/>
      <c r="C921" s="16"/>
      <c r="D921" s="122"/>
      <c r="E921" s="122"/>
      <c r="F921" s="15"/>
      <c r="G921" s="117"/>
      <c r="H921" s="220"/>
      <c r="J921" s="9"/>
    </row>
    <row r="922" spans="1:10" s="10" customFormat="1" x14ac:dyDescent="0.2">
      <c r="A922" s="165"/>
      <c r="B922" s="165"/>
      <c r="C922" s="16"/>
      <c r="D922" s="122"/>
      <c r="E922" s="122"/>
      <c r="F922" s="15"/>
      <c r="G922" s="117"/>
      <c r="H922" s="220"/>
      <c r="J922" s="9"/>
    </row>
    <row r="923" spans="1:10" s="10" customFormat="1" x14ac:dyDescent="0.2">
      <c r="A923" s="165"/>
      <c r="B923" s="165"/>
      <c r="C923" s="16"/>
      <c r="D923" s="122"/>
      <c r="E923" s="122"/>
      <c r="F923" s="15"/>
      <c r="G923" s="117"/>
      <c r="H923" s="220"/>
      <c r="J923" s="9"/>
    </row>
    <row r="924" spans="1:10" s="10" customFormat="1" x14ac:dyDescent="0.2">
      <c r="A924" s="165"/>
      <c r="B924" s="165"/>
      <c r="C924" s="16"/>
      <c r="D924" s="122"/>
      <c r="E924" s="122"/>
      <c r="F924" s="15"/>
      <c r="G924" s="117"/>
      <c r="H924" s="220"/>
      <c r="J924" s="9"/>
    </row>
    <row r="925" spans="1:10" s="10" customFormat="1" x14ac:dyDescent="0.2">
      <c r="A925" s="165"/>
      <c r="B925" s="165"/>
      <c r="C925" s="16"/>
      <c r="D925" s="122"/>
      <c r="E925" s="122"/>
      <c r="F925" s="15"/>
      <c r="G925" s="117"/>
      <c r="H925" s="220"/>
      <c r="J925" s="9"/>
    </row>
    <row r="926" spans="1:10" s="10" customFormat="1" x14ac:dyDescent="0.2">
      <c r="A926" s="165"/>
      <c r="B926" s="165"/>
      <c r="C926" s="16"/>
      <c r="D926" s="122"/>
      <c r="E926" s="122"/>
      <c r="F926" s="15"/>
      <c r="G926" s="117"/>
      <c r="H926" s="220"/>
      <c r="J926" s="9"/>
    </row>
    <row r="927" spans="1:10" s="10" customFormat="1" x14ac:dyDescent="0.2">
      <c r="A927" s="165"/>
      <c r="B927" s="165"/>
      <c r="C927" s="16"/>
      <c r="D927" s="122"/>
      <c r="E927" s="122"/>
      <c r="F927" s="15"/>
      <c r="G927" s="117"/>
      <c r="H927" s="220"/>
      <c r="J927" s="9"/>
    </row>
    <row r="928" spans="1:10" s="10" customFormat="1" x14ac:dyDescent="0.2">
      <c r="A928" s="165"/>
      <c r="B928" s="165"/>
      <c r="C928" s="16"/>
      <c r="D928" s="122"/>
      <c r="E928" s="122"/>
      <c r="F928" s="15"/>
      <c r="G928" s="117"/>
      <c r="H928" s="220"/>
      <c r="J928" s="9"/>
    </row>
    <row r="929" spans="1:10" s="10" customFormat="1" x14ac:dyDescent="0.2">
      <c r="A929" s="165"/>
      <c r="B929" s="165"/>
      <c r="C929" s="16"/>
      <c r="D929" s="122"/>
      <c r="E929" s="122"/>
      <c r="F929" s="15"/>
      <c r="G929" s="117"/>
      <c r="H929" s="220"/>
      <c r="J929" s="9"/>
    </row>
    <row r="930" spans="1:10" s="10" customFormat="1" x14ac:dyDescent="0.2">
      <c r="A930" s="165"/>
      <c r="B930" s="165"/>
      <c r="C930" s="16"/>
      <c r="D930" s="122"/>
      <c r="E930" s="122"/>
      <c r="F930" s="15"/>
      <c r="G930" s="117"/>
      <c r="H930" s="220"/>
      <c r="J930" s="9"/>
    </row>
    <row r="931" spans="1:10" s="10" customFormat="1" x14ac:dyDescent="0.2">
      <c r="A931" s="165"/>
      <c r="B931" s="165"/>
      <c r="C931" s="16"/>
      <c r="D931" s="122"/>
      <c r="E931" s="122"/>
      <c r="F931" s="15"/>
      <c r="G931" s="117"/>
      <c r="H931" s="220"/>
      <c r="J931" s="9"/>
    </row>
    <row r="932" spans="1:10" s="10" customFormat="1" x14ac:dyDescent="0.2">
      <c r="A932" s="165"/>
      <c r="B932" s="165"/>
      <c r="C932" s="16"/>
      <c r="D932" s="122"/>
      <c r="E932" s="122"/>
      <c r="F932" s="15"/>
      <c r="G932" s="117"/>
      <c r="H932" s="220"/>
      <c r="J932" s="9"/>
    </row>
    <row r="933" spans="1:10" s="10" customFormat="1" x14ac:dyDescent="0.2">
      <c r="A933" s="165"/>
      <c r="B933" s="165"/>
      <c r="C933" s="16"/>
      <c r="D933" s="122"/>
      <c r="E933" s="122"/>
      <c r="F933" s="15"/>
      <c r="G933" s="117"/>
      <c r="H933" s="220"/>
      <c r="J933" s="9"/>
    </row>
    <row r="934" spans="1:10" s="10" customFormat="1" x14ac:dyDescent="0.2">
      <c r="A934" s="165"/>
      <c r="B934" s="165"/>
      <c r="C934" s="16"/>
      <c r="D934" s="122"/>
      <c r="E934" s="122"/>
      <c r="F934" s="15"/>
      <c r="G934" s="117"/>
      <c r="H934" s="220"/>
      <c r="J934" s="9"/>
    </row>
    <row r="935" spans="1:10" s="10" customFormat="1" x14ac:dyDescent="0.2">
      <c r="A935" s="165"/>
      <c r="B935" s="165"/>
      <c r="C935" s="16"/>
      <c r="D935" s="122"/>
      <c r="E935" s="122"/>
      <c r="F935" s="15"/>
      <c r="G935" s="117"/>
      <c r="H935" s="220"/>
      <c r="J935" s="9"/>
    </row>
    <row r="936" spans="1:10" s="10" customFormat="1" x14ac:dyDescent="0.2">
      <c r="A936" s="165"/>
      <c r="B936" s="165"/>
      <c r="C936" s="16"/>
      <c r="D936" s="122"/>
      <c r="E936" s="122"/>
      <c r="F936" s="15"/>
      <c r="G936" s="117"/>
      <c r="H936" s="220"/>
      <c r="J936" s="9"/>
    </row>
    <row r="937" spans="1:10" s="10" customFormat="1" x14ac:dyDescent="0.2">
      <c r="A937" s="165"/>
      <c r="B937" s="165"/>
      <c r="C937" s="16"/>
      <c r="D937" s="122"/>
      <c r="E937" s="122"/>
      <c r="F937" s="15"/>
      <c r="G937" s="117"/>
      <c r="H937" s="220"/>
      <c r="J937" s="9"/>
    </row>
    <row r="938" spans="1:10" s="10" customFormat="1" x14ac:dyDescent="0.2">
      <c r="A938" s="165"/>
      <c r="B938" s="165"/>
      <c r="C938" s="16"/>
      <c r="D938" s="122"/>
      <c r="E938" s="122"/>
      <c r="F938" s="15"/>
      <c r="G938" s="117"/>
      <c r="H938" s="220"/>
      <c r="J938" s="9"/>
    </row>
    <row r="939" spans="1:10" s="10" customFormat="1" x14ac:dyDescent="0.2">
      <c r="A939" s="165"/>
      <c r="B939" s="165"/>
      <c r="C939" s="16"/>
      <c r="D939" s="122"/>
      <c r="E939" s="122"/>
      <c r="F939" s="15"/>
      <c r="G939" s="117"/>
      <c r="H939" s="220"/>
      <c r="J939" s="9"/>
    </row>
    <row r="940" spans="1:10" s="10" customFormat="1" x14ac:dyDescent="0.2">
      <c r="A940" s="165"/>
      <c r="B940" s="165"/>
      <c r="C940" s="16"/>
      <c r="D940" s="122"/>
      <c r="E940" s="122"/>
      <c r="F940" s="15"/>
      <c r="G940" s="117"/>
      <c r="H940" s="220"/>
      <c r="J940" s="9"/>
    </row>
    <row r="941" spans="1:10" s="10" customFormat="1" x14ac:dyDescent="0.2">
      <c r="A941" s="165"/>
      <c r="B941" s="165"/>
      <c r="C941" s="16"/>
      <c r="D941" s="122"/>
      <c r="E941" s="122"/>
      <c r="F941" s="15"/>
      <c r="G941" s="117"/>
      <c r="H941" s="220"/>
      <c r="J941" s="9"/>
    </row>
    <row r="942" spans="1:10" s="10" customFormat="1" x14ac:dyDescent="0.2">
      <c r="A942" s="165"/>
      <c r="B942" s="165"/>
      <c r="C942" s="16"/>
      <c r="D942" s="122"/>
      <c r="E942" s="122"/>
      <c r="F942" s="15"/>
      <c r="G942" s="117"/>
      <c r="H942" s="220"/>
      <c r="J942" s="9"/>
    </row>
    <row r="943" spans="1:10" s="10" customFormat="1" x14ac:dyDescent="0.2">
      <c r="A943" s="165"/>
      <c r="B943" s="165"/>
      <c r="C943" s="16"/>
      <c r="D943" s="122"/>
      <c r="E943" s="122"/>
      <c r="F943" s="15"/>
      <c r="G943" s="117"/>
      <c r="H943" s="220"/>
      <c r="J943" s="9"/>
    </row>
    <row r="944" spans="1:10" s="10" customFormat="1" x14ac:dyDescent="0.2">
      <c r="A944" s="165"/>
      <c r="B944" s="165"/>
      <c r="C944" s="16"/>
      <c r="D944" s="122"/>
      <c r="E944" s="122"/>
      <c r="F944" s="15"/>
      <c r="G944" s="117"/>
      <c r="H944" s="220"/>
      <c r="J944" s="9"/>
    </row>
    <row r="945" spans="1:10" s="10" customFormat="1" x14ac:dyDescent="0.2">
      <c r="A945" s="165"/>
      <c r="B945" s="165"/>
      <c r="C945" s="16"/>
      <c r="D945" s="122"/>
      <c r="E945" s="122"/>
      <c r="F945" s="15"/>
      <c r="G945" s="117"/>
      <c r="H945" s="220"/>
      <c r="J945" s="9"/>
    </row>
    <row r="946" spans="1:10" s="10" customFormat="1" x14ac:dyDescent="0.2">
      <c r="A946" s="165"/>
      <c r="B946" s="165"/>
      <c r="C946" s="16"/>
      <c r="D946" s="122"/>
      <c r="E946" s="122"/>
      <c r="F946" s="15"/>
      <c r="G946" s="117"/>
      <c r="H946" s="220"/>
      <c r="J946" s="9"/>
    </row>
    <row r="947" spans="1:10" s="10" customFormat="1" x14ac:dyDescent="0.2">
      <c r="A947" s="165"/>
      <c r="B947" s="165"/>
      <c r="C947" s="16"/>
      <c r="D947" s="122"/>
      <c r="E947" s="122"/>
      <c r="F947" s="15"/>
      <c r="G947" s="117"/>
      <c r="H947" s="220"/>
      <c r="J947" s="9"/>
    </row>
    <row r="948" spans="1:10" s="10" customFormat="1" x14ac:dyDescent="0.2">
      <c r="A948" s="165"/>
      <c r="B948" s="165"/>
      <c r="C948" s="16"/>
      <c r="D948" s="122"/>
      <c r="E948" s="122"/>
      <c r="F948" s="15"/>
      <c r="G948" s="117"/>
      <c r="H948" s="220"/>
      <c r="J948" s="9"/>
    </row>
    <row r="949" spans="1:10" s="10" customFormat="1" x14ac:dyDescent="0.2">
      <c r="A949" s="165"/>
      <c r="B949" s="165"/>
      <c r="C949" s="16"/>
      <c r="D949" s="122"/>
      <c r="E949" s="122"/>
      <c r="F949" s="15"/>
      <c r="G949" s="117"/>
      <c r="H949" s="220"/>
      <c r="J949" s="9"/>
    </row>
    <row r="950" spans="1:10" s="10" customFormat="1" x14ac:dyDescent="0.2">
      <c r="A950" s="165"/>
      <c r="B950" s="165"/>
      <c r="C950" s="16"/>
      <c r="D950" s="122"/>
      <c r="E950" s="122"/>
      <c r="F950" s="15"/>
      <c r="G950" s="117"/>
      <c r="H950" s="220"/>
      <c r="J950" s="9"/>
    </row>
    <row r="951" spans="1:10" s="10" customFormat="1" x14ac:dyDescent="0.2">
      <c r="A951" s="165"/>
      <c r="B951" s="165"/>
      <c r="C951" s="16"/>
      <c r="D951" s="122"/>
      <c r="E951" s="122"/>
      <c r="F951" s="15"/>
      <c r="G951" s="117"/>
      <c r="H951" s="220"/>
      <c r="J951" s="9"/>
    </row>
    <row r="952" spans="1:10" s="10" customFormat="1" x14ac:dyDescent="0.2">
      <c r="A952" s="165"/>
      <c r="B952" s="165"/>
      <c r="C952" s="16"/>
      <c r="D952" s="122"/>
      <c r="E952" s="122"/>
      <c r="F952" s="15"/>
      <c r="G952" s="117"/>
      <c r="H952" s="220"/>
      <c r="J952" s="9"/>
    </row>
    <row r="953" spans="1:10" s="10" customFormat="1" x14ac:dyDescent="0.2">
      <c r="A953" s="165"/>
      <c r="B953" s="165"/>
      <c r="C953" s="16"/>
      <c r="D953" s="122"/>
      <c r="E953" s="122"/>
      <c r="F953" s="15"/>
      <c r="G953" s="117"/>
      <c r="H953" s="220"/>
      <c r="J953" s="9"/>
    </row>
    <row r="954" spans="1:10" s="10" customFormat="1" x14ac:dyDescent="0.2">
      <c r="A954" s="165"/>
      <c r="B954" s="165"/>
      <c r="C954" s="16"/>
      <c r="D954" s="122"/>
      <c r="E954" s="122"/>
      <c r="F954" s="15"/>
      <c r="G954" s="117"/>
      <c r="H954" s="220"/>
      <c r="J954" s="9"/>
    </row>
    <row r="955" spans="1:10" s="10" customFormat="1" x14ac:dyDescent="0.2">
      <c r="A955" s="165"/>
      <c r="B955" s="165"/>
      <c r="C955" s="16"/>
      <c r="D955" s="122"/>
      <c r="E955" s="122"/>
      <c r="F955" s="15"/>
      <c r="G955" s="117"/>
      <c r="H955" s="220"/>
      <c r="J955" s="9"/>
    </row>
    <row r="956" spans="1:10" s="10" customFormat="1" x14ac:dyDescent="0.2">
      <c r="A956" s="165"/>
      <c r="B956" s="165"/>
      <c r="C956" s="16"/>
      <c r="D956" s="122"/>
      <c r="E956" s="122"/>
      <c r="F956" s="15"/>
      <c r="G956" s="117"/>
      <c r="H956" s="220"/>
      <c r="J956" s="9"/>
    </row>
    <row r="957" spans="1:10" s="10" customFormat="1" x14ac:dyDescent="0.2">
      <c r="A957" s="165"/>
      <c r="B957" s="165"/>
      <c r="C957" s="16"/>
      <c r="D957" s="122"/>
      <c r="E957" s="122"/>
      <c r="F957" s="15"/>
      <c r="G957" s="117"/>
      <c r="H957" s="220"/>
      <c r="J957" s="9"/>
    </row>
    <row r="958" spans="1:10" s="10" customFormat="1" x14ac:dyDescent="0.2">
      <c r="A958" s="165"/>
      <c r="B958" s="165"/>
      <c r="C958" s="16"/>
      <c r="D958" s="122"/>
      <c r="E958" s="122"/>
      <c r="F958" s="15"/>
      <c r="G958" s="117"/>
      <c r="H958" s="220"/>
      <c r="J958" s="9"/>
    </row>
    <row r="959" spans="1:10" s="10" customFormat="1" x14ac:dyDescent="0.2">
      <c r="A959" s="165"/>
      <c r="B959" s="165"/>
      <c r="C959" s="16"/>
      <c r="D959" s="122"/>
      <c r="E959" s="122"/>
      <c r="F959" s="15"/>
      <c r="G959" s="117"/>
      <c r="H959" s="220"/>
      <c r="J959" s="9"/>
    </row>
    <row r="960" spans="1:10" s="10" customFormat="1" x14ac:dyDescent="0.2">
      <c r="A960" s="165"/>
      <c r="B960" s="165"/>
      <c r="C960" s="16"/>
      <c r="D960" s="122"/>
      <c r="E960" s="122"/>
      <c r="F960" s="15"/>
      <c r="G960" s="117"/>
      <c r="H960" s="220"/>
      <c r="J960" s="9"/>
    </row>
    <row r="961" spans="1:10" s="10" customFormat="1" x14ac:dyDescent="0.2">
      <c r="A961" s="165"/>
      <c r="B961" s="165"/>
      <c r="C961" s="16"/>
      <c r="D961" s="122"/>
      <c r="E961" s="122"/>
      <c r="F961" s="15"/>
      <c r="G961" s="117"/>
      <c r="H961" s="220"/>
      <c r="J961" s="9"/>
    </row>
    <row r="962" spans="1:10" s="10" customFormat="1" x14ac:dyDescent="0.2">
      <c r="A962" s="165"/>
      <c r="B962" s="165"/>
      <c r="C962" s="16"/>
      <c r="D962" s="122"/>
      <c r="E962" s="122"/>
      <c r="F962" s="15"/>
      <c r="G962" s="117"/>
      <c r="H962" s="220"/>
      <c r="J962" s="9"/>
    </row>
    <row r="963" spans="1:10" s="10" customFormat="1" x14ac:dyDescent="0.2">
      <c r="A963" s="165"/>
      <c r="B963" s="165"/>
      <c r="C963" s="16"/>
      <c r="D963" s="122"/>
      <c r="E963" s="122"/>
      <c r="F963" s="15"/>
      <c r="G963" s="117"/>
      <c r="H963" s="220"/>
      <c r="J963" s="9"/>
    </row>
    <row r="964" spans="1:10" s="10" customFormat="1" x14ac:dyDescent="0.2">
      <c r="A964" s="165"/>
      <c r="B964" s="165"/>
      <c r="C964" s="16"/>
      <c r="D964" s="122"/>
      <c r="E964" s="122"/>
      <c r="F964" s="15"/>
      <c r="G964" s="117"/>
      <c r="H964" s="220"/>
      <c r="J964" s="9"/>
    </row>
    <row r="965" spans="1:10" s="10" customFormat="1" x14ac:dyDescent="0.2">
      <c r="A965" s="165"/>
      <c r="B965" s="165"/>
      <c r="C965" s="16"/>
      <c r="D965" s="122"/>
      <c r="E965" s="122"/>
      <c r="F965" s="15"/>
      <c r="G965" s="117"/>
      <c r="H965" s="220"/>
      <c r="J965" s="9"/>
    </row>
    <row r="966" spans="1:10" s="10" customFormat="1" x14ac:dyDescent="0.2">
      <c r="A966" s="165"/>
      <c r="B966" s="165"/>
      <c r="C966" s="16"/>
      <c r="D966" s="122"/>
      <c r="E966" s="122"/>
      <c r="F966" s="15"/>
      <c r="G966" s="117"/>
      <c r="H966" s="220"/>
      <c r="J966" s="9"/>
    </row>
    <row r="967" spans="1:10" s="10" customFormat="1" x14ac:dyDescent="0.2">
      <c r="A967" s="165"/>
      <c r="B967" s="165"/>
      <c r="C967" s="16"/>
      <c r="D967" s="122"/>
      <c r="E967" s="122"/>
      <c r="F967" s="15"/>
      <c r="G967" s="117"/>
      <c r="H967" s="220"/>
      <c r="J967" s="9"/>
    </row>
    <row r="968" spans="1:10" s="10" customFormat="1" x14ac:dyDescent="0.2">
      <c r="A968" s="165"/>
      <c r="B968" s="165"/>
      <c r="C968" s="16"/>
      <c r="D968" s="122"/>
      <c r="E968" s="122"/>
      <c r="F968" s="15"/>
      <c r="G968" s="117"/>
      <c r="H968" s="220"/>
      <c r="J968" s="9"/>
    </row>
    <row r="969" spans="1:10" s="10" customFormat="1" x14ac:dyDescent="0.2">
      <c r="A969" s="165"/>
      <c r="B969" s="165"/>
      <c r="C969" s="16"/>
      <c r="D969" s="122"/>
      <c r="E969" s="122"/>
      <c r="F969" s="15"/>
      <c r="G969" s="117"/>
      <c r="H969" s="220"/>
      <c r="J969" s="9"/>
    </row>
    <row r="970" spans="1:10" s="10" customFormat="1" x14ac:dyDescent="0.2">
      <c r="A970" s="165"/>
      <c r="B970" s="165"/>
      <c r="C970" s="16"/>
      <c r="D970" s="122"/>
      <c r="E970" s="122"/>
      <c r="F970" s="15"/>
      <c r="G970" s="117"/>
      <c r="H970" s="220"/>
      <c r="J970" s="9"/>
    </row>
    <row r="971" spans="1:10" s="10" customFormat="1" x14ac:dyDescent="0.2">
      <c r="A971" s="165"/>
      <c r="B971" s="165"/>
      <c r="C971" s="16"/>
      <c r="D971" s="122"/>
      <c r="E971" s="122"/>
      <c r="F971" s="15"/>
      <c r="G971" s="117"/>
      <c r="H971" s="220"/>
      <c r="J971" s="9"/>
    </row>
    <row r="972" spans="1:10" s="10" customFormat="1" x14ac:dyDescent="0.2">
      <c r="A972" s="165"/>
      <c r="B972" s="165"/>
      <c r="C972" s="16"/>
      <c r="D972" s="122"/>
      <c r="E972" s="122"/>
      <c r="F972" s="15"/>
      <c r="G972" s="117"/>
      <c r="H972" s="220"/>
      <c r="J972" s="9"/>
    </row>
    <row r="973" spans="1:10" s="10" customFormat="1" x14ac:dyDescent="0.2">
      <c r="A973" s="165"/>
      <c r="B973" s="165"/>
      <c r="C973" s="16"/>
      <c r="D973" s="122"/>
      <c r="E973" s="122"/>
      <c r="F973" s="15"/>
      <c r="G973" s="117"/>
      <c r="H973" s="220"/>
      <c r="J973" s="9"/>
    </row>
    <row r="974" spans="1:10" s="10" customFormat="1" x14ac:dyDescent="0.2">
      <c r="A974" s="165"/>
      <c r="B974" s="165"/>
      <c r="C974" s="16"/>
      <c r="D974" s="122"/>
      <c r="E974" s="122"/>
      <c r="F974" s="15"/>
      <c r="G974" s="117"/>
      <c r="H974" s="220"/>
      <c r="J974" s="9"/>
    </row>
    <row r="975" spans="1:10" s="10" customFormat="1" x14ac:dyDescent="0.2">
      <c r="A975" s="165"/>
      <c r="B975" s="165"/>
      <c r="C975" s="16"/>
      <c r="D975" s="122"/>
      <c r="E975" s="122"/>
      <c r="F975" s="15"/>
      <c r="G975" s="117"/>
      <c r="H975" s="220"/>
      <c r="J975" s="9"/>
    </row>
    <row r="976" spans="1:10" s="10" customFormat="1" x14ac:dyDescent="0.2">
      <c r="A976" s="165"/>
      <c r="B976" s="165"/>
      <c r="C976" s="16"/>
      <c r="D976" s="122"/>
      <c r="E976" s="122"/>
      <c r="F976" s="15"/>
      <c r="G976" s="117"/>
      <c r="H976" s="220"/>
      <c r="J976" s="9"/>
    </row>
    <row r="977" spans="1:10" s="10" customFormat="1" x14ac:dyDescent="0.2">
      <c r="A977" s="165"/>
      <c r="B977" s="165"/>
      <c r="C977" s="16"/>
      <c r="D977" s="122"/>
      <c r="E977" s="122"/>
      <c r="F977" s="15"/>
      <c r="G977" s="117"/>
      <c r="H977" s="220"/>
      <c r="J977" s="9"/>
    </row>
    <row r="978" spans="1:10" s="10" customFormat="1" x14ac:dyDescent="0.2">
      <c r="A978" s="165"/>
      <c r="B978" s="165"/>
      <c r="C978" s="16"/>
      <c r="D978" s="122"/>
      <c r="E978" s="122"/>
      <c r="F978" s="15"/>
      <c r="G978" s="117"/>
      <c r="H978" s="220"/>
      <c r="J978" s="9"/>
    </row>
    <row r="979" spans="1:10" s="10" customFormat="1" x14ac:dyDescent="0.2">
      <c r="A979" s="165"/>
      <c r="B979" s="165"/>
      <c r="C979" s="16"/>
      <c r="D979" s="122"/>
      <c r="E979" s="122"/>
      <c r="F979" s="15"/>
      <c r="G979" s="117"/>
      <c r="H979" s="220"/>
      <c r="J979" s="9"/>
    </row>
    <row r="980" spans="1:10" s="10" customFormat="1" x14ac:dyDescent="0.2">
      <c r="A980" s="165"/>
      <c r="B980" s="165"/>
      <c r="C980" s="16"/>
      <c r="D980" s="122"/>
      <c r="E980" s="122"/>
      <c r="F980" s="15"/>
      <c r="G980" s="117"/>
      <c r="H980" s="220"/>
      <c r="J980" s="9"/>
    </row>
    <row r="981" spans="1:10" s="10" customFormat="1" x14ac:dyDescent="0.2">
      <c r="A981" s="165"/>
      <c r="B981" s="165"/>
      <c r="C981" s="16"/>
      <c r="D981" s="122"/>
      <c r="E981" s="122"/>
      <c r="F981" s="15"/>
      <c r="G981" s="117"/>
      <c r="H981" s="220"/>
      <c r="J981" s="9"/>
    </row>
    <row r="982" spans="1:10" s="10" customFormat="1" x14ac:dyDescent="0.2">
      <c r="A982" s="165"/>
      <c r="B982" s="165"/>
      <c r="C982" s="16"/>
      <c r="D982" s="122"/>
      <c r="E982" s="122"/>
      <c r="F982" s="15"/>
      <c r="G982" s="117"/>
      <c r="H982" s="220"/>
      <c r="J982" s="9"/>
    </row>
    <row r="983" spans="1:10" s="10" customFormat="1" x14ac:dyDescent="0.2">
      <c r="A983" s="165"/>
      <c r="B983" s="165"/>
      <c r="C983" s="16"/>
      <c r="D983" s="122"/>
      <c r="E983" s="122"/>
      <c r="F983" s="15"/>
      <c r="G983" s="117"/>
      <c r="H983" s="220"/>
      <c r="J983" s="9"/>
    </row>
    <row r="984" spans="1:10" s="10" customFormat="1" x14ac:dyDescent="0.2">
      <c r="A984" s="165"/>
      <c r="B984" s="165"/>
      <c r="C984" s="16"/>
      <c r="D984" s="122"/>
      <c r="E984" s="122"/>
      <c r="F984" s="15"/>
      <c r="G984" s="117"/>
      <c r="H984" s="220"/>
      <c r="J984" s="9"/>
    </row>
    <row r="985" spans="1:10" s="10" customFormat="1" x14ac:dyDescent="0.2">
      <c r="A985" s="165"/>
      <c r="B985" s="165"/>
      <c r="C985" s="16"/>
      <c r="D985" s="122"/>
      <c r="E985" s="122"/>
      <c r="F985" s="15"/>
      <c r="G985" s="117"/>
      <c r="H985" s="220"/>
      <c r="J985" s="9"/>
    </row>
    <row r="986" spans="1:10" s="10" customFormat="1" x14ac:dyDescent="0.2">
      <c r="A986" s="165"/>
      <c r="B986" s="165"/>
      <c r="C986" s="16"/>
      <c r="D986" s="122"/>
      <c r="E986" s="122"/>
      <c r="F986" s="15"/>
      <c r="G986" s="117"/>
      <c r="H986" s="220"/>
      <c r="J986" s="9"/>
    </row>
    <row r="987" spans="1:10" s="10" customFormat="1" x14ac:dyDescent="0.2">
      <c r="A987" s="165"/>
      <c r="B987" s="165"/>
      <c r="C987" s="16"/>
      <c r="D987" s="122"/>
      <c r="E987" s="122"/>
      <c r="F987" s="15"/>
      <c r="G987" s="117"/>
      <c r="H987" s="220"/>
      <c r="J987" s="9"/>
    </row>
    <row r="988" spans="1:10" s="10" customFormat="1" x14ac:dyDescent="0.2">
      <c r="A988" s="165"/>
      <c r="B988" s="165"/>
      <c r="C988" s="16"/>
      <c r="D988" s="122"/>
      <c r="E988" s="122"/>
      <c r="F988" s="15"/>
      <c r="G988" s="117"/>
      <c r="H988" s="220"/>
      <c r="J988" s="9"/>
    </row>
    <row r="989" spans="1:10" s="10" customFormat="1" x14ac:dyDescent="0.2">
      <c r="A989" s="165"/>
      <c r="B989" s="165"/>
      <c r="C989" s="16"/>
      <c r="D989" s="122"/>
      <c r="E989" s="122"/>
      <c r="F989" s="15"/>
      <c r="G989" s="117"/>
      <c r="H989" s="220"/>
      <c r="J989" s="9"/>
    </row>
    <row r="990" spans="1:10" s="10" customFormat="1" x14ac:dyDescent="0.2">
      <c r="A990" s="165"/>
      <c r="B990" s="165"/>
      <c r="C990" s="16"/>
      <c r="D990" s="122"/>
      <c r="E990" s="122"/>
      <c r="F990" s="15"/>
      <c r="G990" s="117"/>
      <c r="H990" s="220"/>
      <c r="J990" s="9"/>
    </row>
    <row r="991" spans="1:10" s="10" customFormat="1" x14ac:dyDescent="0.2">
      <c r="A991" s="165"/>
      <c r="B991" s="165"/>
      <c r="C991" s="16"/>
      <c r="D991" s="122"/>
      <c r="E991" s="122"/>
      <c r="F991" s="15"/>
      <c r="G991" s="117"/>
      <c r="H991" s="220"/>
      <c r="J991" s="9"/>
    </row>
    <row r="992" spans="1:10" s="10" customFormat="1" x14ac:dyDescent="0.2">
      <c r="A992" s="165"/>
      <c r="B992" s="165"/>
      <c r="C992" s="16"/>
      <c r="D992" s="122"/>
      <c r="E992" s="122"/>
      <c r="F992" s="15"/>
      <c r="G992" s="117"/>
      <c r="H992" s="220"/>
      <c r="J992" s="9"/>
    </row>
    <row r="993" spans="1:10" s="10" customFormat="1" x14ac:dyDescent="0.2">
      <c r="A993" s="165"/>
      <c r="B993" s="165"/>
      <c r="C993" s="16"/>
      <c r="D993" s="122"/>
      <c r="E993" s="122"/>
      <c r="F993" s="15"/>
      <c r="G993" s="117"/>
      <c r="H993" s="220"/>
      <c r="J993" s="9"/>
    </row>
    <row r="994" spans="1:10" s="10" customFormat="1" x14ac:dyDescent="0.2">
      <c r="A994" s="165"/>
      <c r="B994" s="165"/>
      <c r="C994" s="16"/>
      <c r="D994" s="122"/>
      <c r="E994" s="122"/>
      <c r="F994" s="15"/>
      <c r="G994" s="117"/>
      <c r="H994" s="220"/>
      <c r="J994" s="9"/>
    </row>
    <row r="995" spans="1:10" s="10" customFormat="1" x14ac:dyDescent="0.2">
      <c r="A995" s="165"/>
      <c r="B995" s="165"/>
      <c r="C995" s="16"/>
      <c r="D995" s="122"/>
      <c r="E995" s="122"/>
      <c r="F995" s="15"/>
      <c r="G995" s="117"/>
      <c r="H995" s="220"/>
      <c r="J995" s="9"/>
    </row>
    <row r="996" spans="1:10" s="10" customFormat="1" x14ac:dyDescent="0.2">
      <c r="A996" s="165"/>
      <c r="B996" s="165"/>
      <c r="C996" s="16"/>
      <c r="D996" s="122"/>
      <c r="E996" s="122"/>
      <c r="F996" s="15"/>
      <c r="G996" s="117"/>
      <c r="H996" s="220"/>
      <c r="J996" s="9"/>
    </row>
    <row r="997" spans="1:10" s="10" customFormat="1" x14ac:dyDescent="0.2">
      <c r="A997" s="165"/>
      <c r="B997" s="165"/>
      <c r="C997" s="16"/>
      <c r="D997" s="122"/>
      <c r="E997" s="122"/>
      <c r="F997" s="15"/>
      <c r="G997" s="117"/>
      <c r="H997" s="220"/>
      <c r="J997" s="9"/>
    </row>
    <row r="998" spans="1:10" s="10" customFormat="1" x14ac:dyDescent="0.2">
      <c r="A998" s="165"/>
      <c r="B998" s="165"/>
      <c r="C998" s="16"/>
      <c r="D998" s="122"/>
      <c r="E998" s="122"/>
      <c r="F998" s="15"/>
      <c r="G998" s="117"/>
      <c r="H998" s="220"/>
      <c r="J998" s="9"/>
    </row>
    <row r="999" spans="1:10" s="10" customFormat="1" x14ac:dyDescent="0.2">
      <c r="A999" s="165"/>
      <c r="B999" s="165"/>
      <c r="C999" s="16"/>
      <c r="D999" s="122"/>
      <c r="E999" s="122"/>
      <c r="F999" s="15"/>
      <c r="G999" s="117"/>
      <c r="H999" s="220"/>
      <c r="J999" s="9"/>
    </row>
    <row r="1000" spans="1:10" s="10" customFormat="1" x14ac:dyDescent="0.2">
      <c r="A1000" s="165"/>
      <c r="B1000" s="165"/>
      <c r="C1000" s="16"/>
      <c r="D1000" s="122"/>
      <c r="E1000" s="122"/>
      <c r="F1000" s="15"/>
      <c r="G1000" s="117"/>
      <c r="H1000" s="220"/>
      <c r="J1000" s="9"/>
    </row>
    <row r="1001" spans="1:10" s="10" customFormat="1" x14ac:dyDescent="0.2">
      <c r="A1001" s="165"/>
      <c r="B1001" s="165"/>
      <c r="C1001" s="16"/>
      <c r="D1001" s="122"/>
      <c r="E1001" s="122"/>
      <c r="F1001" s="15"/>
      <c r="G1001" s="117"/>
      <c r="H1001" s="220"/>
      <c r="J1001" s="9"/>
    </row>
    <row r="1002" spans="1:10" s="10" customFormat="1" x14ac:dyDescent="0.2">
      <c r="A1002" s="165"/>
      <c r="B1002" s="165"/>
      <c r="C1002" s="16"/>
      <c r="D1002" s="122"/>
      <c r="E1002" s="122"/>
      <c r="F1002" s="15"/>
      <c r="G1002" s="117"/>
      <c r="H1002" s="220"/>
      <c r="J1002" s="9"/>
    </row>
    <row r="1003" spans="1:10" s="10" customFormat="1" x14ac:dyDescent="0.2">
      <c r="A1003" s="165"/>
      <c r="B1003" s="165"/>
      <c r="C1003" s="16"/>
      <c r="D1003" s="122"/>
      <c r="E1003" s="122"/>
      <c r="F1003" s="15"/>
      <c r="G1003" s="117"/>
      <c r="H1003" s="220"/>
      <c r="J1003" s="9"/>
    </row>
    <row r="1004" spans="1:10" s="10" customFormat="1" x14ac:dyDescent="0.2">
      <c r="A1004" s="165"/>
      <c r="B1004" s="165"/>
      <c r="C1004" s="16"/>
      <c r="D1004" s="122"/>
      <c r="E1004" s="122"/>
      <c r="F1004" s="15"/>
      <c r="G1004" s="117"/>
      <c r="H1004" s="220"/>
      <c r="J1004" s="9"/>
    </row>
    <row r="1005" spans="1:10" s="10" customFormat="1" x14ac:dyDescent="0.2">
      <c r="A1005" s="165"/>
      <c r="B1005" s="165"/>
      <c r="C1005" s="16"/>
      <c r="D1005" s="122"/>
      <c r="E1005" s="122"/>
      <c r="F1005" s="15"/>
      <c r="G1005" s="117"/>
      <c r="H1005" s="220"/>
      <c r="J1005" s="9"/>
    </row>
    <row r="1006" spans="1:10" s="10" customFormat="1" x14ac:dyDescent="0.2">
      <c r="A1006" s="165"/>
      <c r="B1006" s="165"/>
      <c r="C1006" s="16"/>
      <c r="D1006" s="122"/>
      <c r="E1006" s="122"/>
      <c r="F1006" s="15"/>
      <c r="G1006" s="117"/>
      <c r="H1006" s="220"/>
      <c r="J1006" s="9"/>
    </row>
    <row r="1007" spans="1:10" s="10" customFormat="1" x14ac:dyDescent="0.2">
      <c r="A1007" s="165"/>
      <c r="B1007" s="165"/>
      <c r="C1007" s="16"/>
      <c r="D1007" s="122"/>
      <c r="E1007" s="122"/>
      <c r="F1007" s="15"/>
      <c r="G1007" s="117"/>
      <c r="H1007" s="220"/>
      <c r="J1007" s="9"/>
    </row>
    <row r="1008" spans="1:10" s="10" customFormat="1" x14ac:dyDescent="0.2">
      <c r="A1008" s="165"/>
      <c r="B1008" s="165"/>
      <c r="C1008" s="16"/>
      <c r="D1008" s="122"/>
      <c r="E1008" s="122"/>
      <c r="F1008" s="15"/>
      <c r="G1008" s="117"/>
      <c r="H1008" s="220"/>
      <c r="J1008" s="9"/>
    </row>
    <row r="1009" spans="1:10" s="10" customFormat="1" x14ac:dyDescent="0.2">
      <c r="A1009" s="165"/>
      <c r="B1009" s="165"/>
      <c r="C1009" s="16"/>
      <c r="D1009" s="122"/>
      <c r="E1009" s="122"/>
      <c r="F1009" s="15"/>
      <c r="G1009" s="117"/>
      <c r="H1009" s="220"/>
      <c r="J1009" s="9"/>
    </row>
    <row r="1010" spans="1:10" s="10" customFormat="1" x14ac:dyDescent="0.2">
      <c r="A1010" s="165"/>
      <c r="B1010" s="165"/>
      <c r="C1010" s="16"/>
      <c r="D1010" s="122"/>
      <c r="E1010" s="122"/>
      <c r="F1010" s="15"/>
      <c r="G1010" s="117"/>
      <c r="H1010" s="220"/>
      <c r="J1010" s="9"/>
    </row>
    <row r="1011" spans="1:10" s="10" customFormat="1" x14ac:dyDescent="0.2">
      <c r="A1011" s="165"/>
      <c r="B1011" s="165"/>
      <c r="C1011" s="16"/>
      <c r="D1011" s="122"/>
      <c r="E1011" s="122"/>
      <c r="F1011" s="15"/>
      <c r="G1011" s="117"/>
      <c r="H1011" s="220"/>
      <c r="J1011" s="9"/>
    </row>
    <row r="1012" spans="1:10" s="10" customFormat="1" x14ac:dyDescent="0.2">
      <c r="A1012" s="165"/>
      <c r="B1012" s="165"/>
      <c r="C1012" s="16"/>
      <c r="D1012" s="122"/>
      <c r="E1012" s="122"/>
      <c r="F1012" s="15"/>
      <c r="G1012" s="117"/>
      <c r="H1012" s="220"/>
      <c r="J1012" s="9"/>
    </row>
    <row r="1013" spans="1:10" s="10" customFormat="1" x14ac:dyDescent="0.2">
      <c r="A1013" s="165"/>
      <c r="B1013" s="165"/>
      <c r="C1013" s="16"/>
      <c r="D1013" s="122"/>
      <c r="E1013" s="122"/>
      <c r="F1013" s="15"/>
      <c r="G1013" s="117"/>
      <c r="H1013" s="220"/>
      <c r="J1013" s="9"/>
    </row>
    <row r="1014" spans="1:10" s="10" customFormat="1" x14ac:dyDescent="0.2">
      <c r="A1014" s="165"/>
      <c r="B1014" s="165"/>
      <c r="C1014" s="16"/>
      <c r="D1014" s="122"/>
      <c r="E1014" s="122"/>
      <c r="F1014" s="15"/>
      <c r="G1014" s="117"/>
      <c r="H1014" s="220"/>
      <c r="J1014" s="9"/>
    </row>
    <row r="1015" spans="1:10" s="10" customFormat="1" x14ac:dyDescent="0.2">
      <c r="A1015" s="165"/>
      <c r="B1015" s="165"/>
      <c r="C1015" s="16"/>
      <c r="D1015" s="122"/>
      <c r="E1015" s="122"/>
      <c r="F1015" s="15"/>
      <c r="G1015" s="117"/>
      <c r="H1015" s="220"/>
      <c r="J1015" s="9"/>
    </row>
    <row r="1016" spans="1:10" s="10" customFormat="1" x14ac:dyDescent="0.2">
      <c r="A1016" s="165"/>
      <c r="B1016" s="165"/>
      <c r="C1016" s="16"/>
      <c r="D1016" s="122"/>
      <c r="E1016" s="122"/>
      <c r="F1016" s="15"/>
      <c r="G1016" s="117"/>
      <c r="H1016" s="220"/>
      <c r="J1016" s="9"/>
    </row>
    <row r="1017" spans="1:10" s="10" customFormat="1" x14ac:dyDescent="0.2">
      <c r="A1017" s="165"/>
      <c r="B1017" s="165"/>
      <c r="C1017" s="16"/>
      <c r="D1017" s="122"/>
      <c r="E1017" s="122"/>
      <c r="F1017" s="15"/>
      <c r="G1017" s="117"/>
      <c r="H1017" s="220"/>
      <c r="J1017" s="9"/>
    </row>
    <row r="1018" spans="1:10" s="10" customFormat="1" x14ac:dyDescent="0.2">
      <c r="A1018" s="165"/>
      <c r="B1018" s="165"/>
      <c r="C1018" s="16"/>
      <c r="D1018" s="122"/>
      <c r="E1018" s="122"/>
      <c r="F1018" s="15"/>
      <c r="G1018" s="117"/>
      <c r="H1018" s="220"/>
      <c r="J1018" s="9"/>
    </row>
    <row r="1019" spans="1:10" s="10" customFormat="1" x14ac:dyDescent="0.2">
      <c r="A1019" s="165"/>
      <c r="B1019" s="165"/>
      <c r="C1019" s="16"/>
      <c r="D1019" s="122"/>
      <c r="E1019" s="122"/>
      <c r="F1019" s="15"/>
      <c r="G1019" s="117"/>
      <c r="H1019" s="220"/>
      <c r="J1019" s="9"/>
    </row>
    <row r="1020" spans="1:10" s="10" customFormat="1" x14ac:dyDescent="0.2">
      <c r="A1020" s="165"/>
      <c r="B1020" s="165"/>
      <c r="C1020" s="16"/>
      <c r="D1020" s="122"/>
      <c r="E1020" s="122"/>
      <c r="F1020" s="15"/>
      <c r="G1020" s="117"/>
      <c r="H1020" s="220"/>
      <c r="J1020" s="9"/>
    </row>
    <row r="1021" spans="1:10" s="10" customFormat="1" x14ac:dyDescent="0.2">
      <c r="A1021" s="165"/>
      <c r="B1021" s="165"/>
      <c r="C1021" s="16"/>
      <c r="D1021" s="122"/>
      <c r="E1021" s="122"/>
      <c r="F1021" s="15"/>
      <c r="G1021" s="117"/>
      <c r="H1021" s="220"/>
      <c r="J1021" s="9"/>
    </row>
    <row r="1022" spans="1:10" s="10" customFormat="1" x14ac:dyDescent="0.2">
      <c r="A1022" s="165"/>
      <c r="B1022" s="165"/>
      <c r="C1022" s="16"/>
      <c r="D1022" s="122"/>
      <c r="E1022" s="122"/>
      <c r="F1022" s="15"/>
      <c r="G1022" s="117"/>
      <c r="H1022" s="220"/>
      <c r="J1022" s="9"/>
    </row>
    <row r="1023" spans="1:10" s="10" customFormat="1" x14ac:dyDescent="0.2">
      <c r="A1023" s="165"/>
      <c r="B1023" s="165"/>
      <c r="C1023" s="16"/>
      <c r="D1023" s="122"/>
      <c r="E1023" s="122"/>
      <c r="F1023" s="15"/>
      <c r="G1023" s="117"/>
      <c r="H1023" s="220"/>
      <c r="J1023" s="9"/>
    </row>
    <row r="1024" spans="1:10" s="10" customFormat="1" x14ac:dyDescent="0.2">
      <c r="A1024" s="165"/>
      <c r="B1024" s="165"/>
      <c r="C1024" s="16"/>
      <c r="D1024" s="122"/>
      <c r="E1024" s="122"/>
      <c r="F1024" s="15"/>
      <c r="G1024" s="117"/>
      <c r="H1024" s="220"/>
      <c r="J1024" s="9"/>
    </row>
    <row r="1025" spans="1:10" s="10" customFormat="1" x14ac:dyDescent="0.2">
      <c r="A1025" s="165"/>
      <c r="B1025" s="165"/>
      <c r="C1025" s="16"/>
      <c r="D1025" s="122"/>
      <c r="E1025" s="122"/>
      <c r="F1025" s="15"/>
      <c r="G1025" s="117"/>
      <c r="H1025" s="220"/>
      <c r="J1025" s="9"/>
    </row>
    <row r="1026" spans="1:10" s="10" customFormat="1" x14ac:dyDescent="0.2">
      <c r="A1026" s="165"/>
      <c r="B1026" s="165"/>
      <c r="C1026" s="16"/>
      <c r="D1026" s="122"/>
      <c r="E1026" s="122"/>
      <c r="F1026" s="15"/>
      <c r="G1026" s="117"/>
      <c r="H1026" s="220"/>
      <c r="J1026" s="9"/>
    </row>
    <row r="1027" spans="1:10" s="10" customFormat="1" x14ac:dyDescent="0.2">
      <c r="A1027" s="165"/>
      <c r="B1027" s="165"/>
      <c r="C1027" s="16"/>
      <c r="D1027" s="122"/>
      <c r="E1027" s="122"/>
      <c r="F1027" s="15"/>
      <c r="G1027" s="117"/>
      <c r="H1027" s="220"/>
      <c r="J1027" s="9"/>
    </row>
  </sheetData>
  <mergeCells count="3">
    <mergeCell ref="A1:G1"/>
    <mergeCell ref="B2:G2"/>
    <mergeCell ref="A3:G3"/>
  </mergeCells>
  <pageMargins left="0.7" right="0.7" top="0.78740157499999996" bottom="0.78740157499999996" header="0.3" footer="0.3"/>
  <pageSetup paperSize="9" scale="65" orientation="landscape" r:id="rId1"/>
  <headerFooter>
    <oddFooter>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2023 příjmy pozmen n  </vt:lpstr>
      <vt:lpstr>Rozpočet 2023 výdaje pozm 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Vomáčková Blanka</cp:lastModifiedBy>
  <cp:lastPrinted>2022-12-15T17:19:37Z</cp:lastPrinted>
  <dcterms:created xsi:type="dcterms:W3CDTF">2001-03-03T09:02:45Z</dcterms:created>
  <dcterms:modified xsi:type="dcterms:W3CDTF">2023-01-19T16:37:34Z</dcterms:modified>
</cp:coreProperties>
</file>