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ZASTUPITELSTVO\ZASTUPITELSTVO_2022-2026\24 ZMC 22_12_2025\08 Rozpočet MČ 2026\"/>
    </mc:Choice>
  </mc:AlternateContent>
  <bookViews>
    <workbookView xWindow="-120" yWindow="-120" windowWidth="29040" windowHeight="15990" tabRatio="599" activeTab="1"/>
  </bookViews>
  <sheets>
    <sheet name="Příjmy 2025 listopad  Rozp" sheetId="191" r:id="rId1"/>
    <sheet name="Výdaje 2025 listopad  Rozp" sheetId="192" r:id="rId2"/>
  </sheets>
  <definedNames>
    <definedName name="_xlnm.Print_Titles" localSheetId="0">'Příjmy 2025 listopad  Rozp'!$5:$6</definedName>
    <definedName name="_xlnm.Print_Titles" localSheetId="1">'Výdaje 2025 listopad  Rozp'!$5:$6</definedName>
  </definedNames>
  <calcPr calcId="152511"/>
</workbook>
</file>

<file path=xl/calcChain.xml><?xml version="1.0" encoding="utf-8"?>
<calcChain xmlns="http://schemas.openxmlformats.org/spreadsheetml/2006/main">
  <c r="G21" i="192" l="1"/>
  <c r="G427" i="192" l="1"/>
  <c r="G62" i="192"/>
  <c r="F62" i="192"/>
  <c r="E62" i="192"/>
  <c r="D62" i="192"/>
  <c r="F307" i="192"/>
  <c r="F301" i="192"/>
  <c r="F276" i="192"/>
  <c r="G223" i="192"/>
  <c r="E223" i="192"/>
  <c r="F221" i="192"/>
  <c r="F223" i="192" s="1"/>
  <c r="D223" i="192"/>
  <c r="F213" i="192"/>
  <c r="F154" i="192"/>
  <c r="F25" i="192"/>
  <c r="F19" i="192"/>
  <c r="F42" i="192"/>
  <c r="F34" i="192"/>
  <c r="F78" i="191"/>
  <c r="E78" i="191"/>
  <c r="D78" i="191"/>
  <c r="H427" i="192" l="1"/>
  <c r="G79" i="192"/>
  <c r="G405" i="192" l="1"/>
  <c r="E405" i="192"/>
  <c r="G402" i="192"/>
  <c r="G401" i="192"/>
  <c r="G399" i="192"/>
  <c r="H399" i="192" s="1"/>
  <c r="G396" i="192"/>
  <c r="H396" i="192" s="1"/>
  <c r="G393" i="192" l="1"/>
  <c r="H393" i="192" s="1"/>
  <c r="G387" i="192"/>
  <c r="G189" i="192" l="1"/>
  <c r="G148" i="192"/>
  <c r="G362" i="192" l="1"/>
  <c r="G390" i="192" s="1"/>
  <c r="H390" i="192" s="1"/>
  <c r="G340" i="192"/>
  <c r="H340" i="192" s="1"/>
  <c r="G318" i="192"/>
  <c r="H318" i="192" s="1"/>
  <c r="G293" i="192"/>
  <c r="H293" i="192" s="1"/>
  <c r="G278" i="192"/>
  <c r="G283" i="192" s="1"/>
  <c r="G40" i="191" s="1"/>
  <c r="G403" i="192" s="1"/>
  <c r="G411" i="192" s="1"/>
  <c r="G288" i="192"/>
  <c r="H288" i="192" s="1"/>
  <c r="G268" i="192"/>
  <c r="H268" i="192" s="1"/>
  <c r="G260" i="192"/>
  <c r="H260" i="192" s="1"/>
  <c r="G257" i="192"/>
  <c r="H257" i="192" s="1"/>
  <c r="G248" i="192"/>
  <c r="H248" i="192" s="1"/>
  <c r="G238" i="192"/>
  <c r="H238" i="192" s="1"/>
  <c r="G235" i="192"/>
  <c r="H235" i="192" s="1"/>
  <c r="G231" i="192"/>
  <c r="H231" i="192" s="1"/>
  <c r="H223" i="192"/>
  <c r="G200" i="192"/>
  <c r="G218" i="192" s="1"/>
  <c r="H218" i="192" s="1"/>
  <c r="G198" i="192"/>
  <c r="H198" i="192" s="1"/>
  <c r="G195" i="192"/>
  <c r="H195" i="192" s="1"/>
  <c r="G190" i="192"/>
  <c r="H190" i="192" s="1"/>
  <c r="G180" i="192"/>
  <c r="H180" i="192" s="1"/>
  <c r="F175" i="192"/>
  <c r="D175" i="192"/>
  <c r="G175" i="192"/>
  <c r="H175" i="192" s="1"/>
  <c r="G168" i="192"/>
  <c r="H168" i="192" s="1"/>
  <c r="G164" i="192"/>
  <c r="G165" i="192" s="1"/>
  <c r="H165" i="192" s="1"/>
  <c r="G146" i="192"/>
  <c r="H146" i="192" s="1"/>
  <c r="D128" i="192"/>
  <c r="H411" i="192" l="1"/>
  <c r="H414" i="192" s="1"/>
  <c r="G414" i="192"/>
  <c r="H283" i="192"/>
  <c r="G128" i="192"/>
  <c r="H128" i="192" s="1"/>
  <c r="G92" i="192"/>
  <c r="H92" i="192" s="1"/>
  <c r="G74" i="192"/>
  <c r="H74" i="192" s="1"/>
  <c r="G68" i="192"/>
  <c r="H68" i="192" s="1"/>
  <c r="G58" i="192" l="1"/>
  <c r="H58" i="192" l="1"/>
  <c r="G77" i="191"/>
  <c r="G74" i="191"/>
  <c r="H62" i="192"/>
  <c r="H413" i="192" l="1"/>
  <c r="H416" i="192" s="1"/>
  <c r="H420" i="192" s="1"/>
  <c r="H428" i="192" s="1"/>
  <c r="H426" i="192" s="1"/>
  <c r="G413" i="192"/>
  <c r="G416" i="192" s="1"/>
  <c r="G420" i="192" s="1"/>
  <c r="G428" i="192" s="1"/>
  <c r="G426" i="192" s="1"/>
  <c r="G78" i="191"/>
  <c r="G75" i="191"/>
  <c r="G72" i="191"/>
  <c r="G67" i="191"/>
  <c r="G69" i="191" s="1"/>
  <c r="H35" i="191"/>
  <c r="G35" i="191"/>
  <c r="H14" i="191"/>
  <c r="G31" i="191"/>
  <c r="H31" i="191" s="1"/>
  <c r="G14" i="191"/>
  <c r="G80" i="191" l="1"/>
  <c r="H80" i="191" s="1"/>
  <c r="G84" i="191"/>
  <c r="H84" i="191" s="1"/>
  <c r="H67" i="191"/>
  <c r="H69" i="191" s="1"/>
  <c r="G82" i="191" l="1"/>
  <c r="H82" i="191" s="1"/>
  <c r="F405" i="192"/>
  <c r="D405" i="192"/>
  <c r="F404" i="192"/>
  <c r="E404" i="192"/>
  <c r="F403" i="192"/>
  <c r="E403" i="192"/>
  <c r="D403" i="192"/>
  <c r="F402" i="192"/>
  <c r="E402" i="192"/>
  <c r="D402" i="192"/>
  <c r="F401" i="192"/>
  <c r="E401" i="192"/>
  <c r="D401" i="192"/>
  <c r="F418" i="192"/>
  <c r="E418" i="192"/>
  <c r="D418" i="192"/>
  <c r="F399" i="192"/>
  <c r="D399" i="192"/>
  <c r="E398" i="192"/>
  <c r="E399" i="192" s="1"/>
  <c r="F396" i="192"/>
  <c r="E396" i="192"/>
  <c r="D396" i="192"/>
  <c r="F393" i="192"/>
  <c r="E393" i="192"/>
  <c r="D393" i="192"/>
  <c r="F390" i="192"/>
  <c r="E387" i="192"/>
  <c r="D387" i="192"/>
  <c r="E386" i="192"/>
  <c r="D386" i="192"/>
  <c r="E381" i="192"/>
  <c r="D381" i="192"/>
  <c r="E374" i="192"/>
  <c r="D374" i="192"/>
  <c r="E373" i="192"/>
  <c r="D373" i="192"/>
  <c r="E354" i="192"/>
  <c r="D354" i="192"/>
  <c r="F352" i="192"/>
  <c r="E351" i="192"/>
  <c r="E349" i="192"/>
  <c r="E346" i="192"/>
  <c r="F340" i="192"/>
  <c r="E323" i="192"/>
  <c r="D323" i="192"/>
  <c r="E320" i="192"/>
  <c r="D320" i="192"/>
  <c r="E318" i="192"/>
  <c r="D318" i="192"/>
  <c r="F300" i="192"/>
  <c r="F298" i="192"/>
  <c r="F293" i="192"/>
  <c r="E293" i="192"/>
  <c r="D293" i="192"/>
  <c r="F288" i="192"/>
  <c r="E288" i="192"/>
  <c r="D288" i="192"/>
  <c r="E283" i="192"/>
  <c r="D283" i="192"/>
  <c r="F282" i="192"/>
  <c r="F275" i="192"/>
  <c r="F268" i="192"/>
  <c r="D268" i="192"/>
  <c r="E262" i="192"/>
  <c r="E268" i="192" s="1"/>
  <c r="F260" i="192"/>
  <c r="E260" i="192"/>
  <c r="D260" i="192"/>
  <c r="F257" i="192"/>
  <c r="D257" i="192"/>
  <c r="E252" i="192"/>
  <c r="E257" i="192" s="1"/>
  <c r="F248" i="192"/>
  <c r="E248" i="192"/>
  <c r="D248" i="192"/>
  <c r="F238" i="192"/>
  <c r="E238" i="192"/>
  <c r="D238" i="192"/>
  <c r="F235" i="192"/>
  <c r="E235" i="192"/>
  <c r="D235" i="192"/>
  <c r="F231" i="192"/>
  <c r="E231" i="192"/>
  <c r="D231" i="192"/>
  <c r="E218" i="192"/>
  <c r="D218" i="192"/>
  <c r="F212" i="192"/>
  <c r="F198" i="192"/>
  <c r="E198" i="192"/>
  <c r="D198" i="192"/>
  <c r="F195" i="192"/>
  <c r="D195" i="192"/>
  <c r="E192" i="192"/>
  <c r="E195" i="192" s="1"/>
  <c r="D190" i="192"/>
  <c r="F189" i="192"/>
  <c r="E189" i="192"/>
  <c r="E190" i="192" s="1"/>
  <c r="F188" i="192"/>
  <c r="D180" i="192"/>
  <c r="E178" i="192"/>
  <c r="E180" i="192" s="1"/>
  <c r="F177" i="192"/>
  <c r="E173" i="192"/>
  <c r="E175" i="192" s="1"/>
  <c r="F168" i="192"/>
  <c r="E168" i="192"/>
  <c r="D168" i="192"/>
  <c r="E163" i="192"/>
  <c r="E161" i="192"/>
  <c r="E160" i="192"/>
  <c r="E158" i="192"/>
  <c r="D158" i="192"/>
  <c r="E155" i="192"/>
  <c r="F165" i="192"/>
  <c r="E154" i="192"/>
  <c r="E152" i="192"/>
  <c r="D152" i="192"/>
  <c r="E151" i="192"/>
  <c r="F146" i="192"/>
  <c r="E146" i="192"/>
  <c r="D146" i="192"/>
  <c r="F121" i="192"/>
  <c r="E121" i="192"/>
  <c r="E119" i="192"/>
  <c r="F100" i="192"/>
  <c r="F90" i="192"/>
  <c r="E90" i="192"/>
  <c r="E92" i="192" s="1"/>
  <c r="D90" i="192"/>
  <c r="D92" i="192" s="1"/>
  <c r="F89" i="192"/>
  <c r="F87" i="192"/>
  <c r="F74" i="192"/>
  <c r="E74" i="192"/>
  <c r="D74" i="192"/>
  <c r="F68" i="192"/>
  <c r="E68" i="192"/>
  <c r="D68" i="192"/>
  <c r="E44" i="192"/>
  <c r="F39" i="192"/>
  <c r="F38" i="192"/>
  <c r="F27" i="192"/>
  <c r="E25" i="192"/>
  <c r="F21" i="192"/>
  <c r="E21" i="192"/>
  <c r="D21" i="192"/>
  <c r="D58" i="192" s="1"/>
  <c r="F20" i="192"/>
  <c r="E19" i="192"/>
  <c r="F18" i="192"/>
  <c r="F79" i="191"/>
  <c r="E79" i="191"/>
  <c r="F77" i="191"/>
  <c r="D77" i="191"/>
  <c r="F76" i="191"/>
  <c r="E76" i="191"/>
  <c r="D76" i="191"/>
  <c r="F75" i="191"/>
  <c r="E75" i="191"/>
  <c r="D75" i="191"/>
  <c r="F74" i="191"/>
  <c r="E74" i="191"/>
  <c r="D74" i="191"/>
  <c r="F72" i="191"/>
  <c r="E72" i="191"/>
  <c r="D72" i="191"/>
  <c r="F47" i="191"/>
  <c r="F46" i="191"/>
  <c r="E46" i="191"/>
  <c r="D46" i="191"/>
  <c r="D84" i="191" s="1"/>
  <c r="E45" i="191"/>
  <c r="E67" i="191" s="1"/>
  <c r="D45" i="191"/>
  <c r="D67" i="191" s="1"/>
  <c r="F35" i="191"/>
  <c r="E35" i="191"/>
  <c r="D35" i="191"/>
  <c r="F31" i="191"/>
  <c r="E31" i="191"/>
  <c r="D31" i="191"/>
  <c r="F14" i="191"/>
  <c r="D14" i="191"/>
  <c r="D69" i="191" s="1"/>
  <c r="E10" i="191"/>
  <c r="E14" i="191" s="1"/>
  <c r="D80" i="191" l="1"/>
  <c r="D82" i="191" s="1"/>
  <c r="D86" i="191" s="1"/>
  <c r="D424" i="192" s="1"/>
  <c r="E128" i="192"/>
  <c r="E411" i="192"/>
  <c r="E414" i="192" s="1"/>
  <c r="G86" i="191"/>
  <c r="H86" i="191" s="1"/>
  <c r="F128" i="192"/>
  <c r="E352" i="192"/>
  <c r="F58" i="192"/>
  <c r="D165" i="192"/>
  <c r="F190" i="192"/>
  <c r="E390" i="192"/>
  <c r="E58" i="192"/>
  <c r="D340" i="192"/>
  <c r="F180" i="192"/>
  <c r="F218" i="192"/>
  <c r="F318" i="192"/>
  <c r="D390" i="192"/>
  <c r="E427" i="192"/>
  <c r="E165" i="192"/>
  <c r="F427" i="192"/>
  <c r="D411" i="192"/>
  <c r="D414" i="192" s="1"/>
  <c r="F283" i="192"/>
  <c r="F92" i="192"/>
  <c r="F411" i="192"/>
  <c r="F414" i="192" s="1"/>
  <c r="D427" i="192"/>
  <c r="E340" i="192"/>
  <c r="E69" i="191"/>
  <c r="E84" i="191"/>
  <c r="F67" i="191"/>
  <c r="E77" i="191"/>
  <c r="E80" i="191" s="1"/>
  <c r="F80" i="191"/>
  <c r="G424" i="192" l="1"/>
  <c r="H424" i="192" s="1"/>
  <c r="D413" i="192"/>
  <c r="D416" i="192" s="1"/>
  <c r="D420" i="192" s="1"/>
  <c r="D428" i="192" s="1"/>
  <c r="D426" i="192" s="1"/>
  <c r="F413" i="192"/>
  <c r="E413" i="192"/>
  <c r="E416" i="192" s="1"/>
  <c r="E420" i="192" s="1"/>
  <c r="E428" i="192" s="1"/>
  <c r="F69" i="191"/>
  <c r="F84" i="191"/>
  <c r="E82" i="191"/>
  <c r="E86" i="191" s="1"/>
  <c r="E424" i="192" s="1"/>
  <c r="H432" i="192" l="1"/>
  <c r="H430" i="192"/>
  <c r="G432" i="192"/>
  <c r="G430" i="192"/>
  <c r="D430" i="192"/>
  <c r="D432" i="192" s="1"/>
  <c r="E426" i="192"/>
  <c r="E430" i="192"/>
  <c r="E432" i="192" s="1"/>
  <c r="F416" i="192"/>
  <c r="F420" i="192" s="1"/>
  <c r="F82" i="191"/>
  <c r="F86" i="191" l="1"/>
  <c r="F424" i="192" s="1"/>
  <c r="F428" i="192" l="1"/>
  <c r="F426" i="192" s="1"/>
  <c r="F430" i="192" l="1"/>
  <c r="F432" i="192" l="1"/>
</calcChain>
</file>

<file path=xl/comments1.xml><?xml version="1.0" encoding="utf-8"?>
<comments xmlns="http://schemas.openxmlformats.org/spreadsheetml/2006/main">
  <authors>
    <author>Vomáčková Blanka</author>
  </authors>
  <commentList>
    <comment ref="A7" authorId="0" shapeId="0">
      <text>
        <r>
          <rPr>
            <b/>
            <sz val="9"/>
            <color indexed="81"/>
            <rFont val="Tahoma"/>
            <family val="2"/>
            <charset val="238"/>
          </rPr>
          <t>Vomáčková Blanka: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<sst xmlns="http://schemas.openxmlformats.org/spreadsheetml/2006/main" count="491" uniqueCount="417">
  <si>
    <t>Paragraf</t>
  </si>
  <si>
    <t>Položka</t>
  </si>
  <si>
    <t>Název</t>
  </si>
  <si>
    <t>tis. Kč</t>
  </si>
  <si>
    <t>Nákup materiálu</t>
  </si>
  <si>
    <t>Nákup služeb</t>
  </si>
  <si>
    <t>Opravy a udržování</t>
  </si>
  <si>
    <t>Silnice</t>
  </si>
  <si>
    <t>Pitná voda</t>
  </si>
  <si>
    <t>Odvádění a čištění odpadních vod</t>
  </si>
  <si>
    <t>Voda</t>
  </si>
  <si>
    <t>Plyn</t>
  </si>
  <si>
    <t>Elektrická energie</t>
  </si>
  <si>
    <t>Pohoštění</t>
  </si>
  <si>
    <t>Platy zaměstnanců</t>
  </si>
  <si>
    <t>Činnosti knihovnické</t>
  </si>
  <si>
    <t>Záležitosti kultury</t>
  </si>
  <si>
    <t>Ostatní osobní výdaje</t>
  </si>
  <si>
    <t>Pohřebnictví</t>
  </si>
  <si>
    <t>Územní plánování</t>
  </si>
  <si>
    <t>Sběr a svoz komunálních odpadů</t>
  </si>
  <si>
    <t>Pohonné hmoty a maziva</t>
  </si>
  <si>
    <t>Cestovné</t>
  </si>
  <si>
    <t>Konzultační, poradenské a právní služby</t>
  </si>
  <si>
    <t>Činnost místní správy</t>
  </si>
  <si>
    <t>Péče o vzhled obcí a veřejnou zeleň</t>
  </si>
  <si>
    <t>Zastupitelstva obcí</t>
  </si>
  <si>
    <t>Převody vlastním fondům /konsolidace/</t>
  </si>
  <si>
    <t>Rozpočtové příjmy</t>
  </si>
  <si>
    <t xml:space="preserve">Název </t>
  </si>
  <si>
    <t>Příjmy z úroků</t>
  </si>
  <si>
    <t>Převody z rozpočtových účtů:</t>
  </si>
  <si>
    <t>Rozpočtové výdaje</t>
  </si>
  <si>
    <t>Povinné pojistné na zdravotní pojištění</t>
  </si>
  <si>
    <t>Výdaje kapitálové</t>
  </si>
  <si>
    <t>Drobný hmotný dlouhodobý  majetek</t>
  </si>
  <si>
    <t>Drobný hmotný dlouhodobý majetek</t>
  </si>
  <si>
    <t>Nákup ostatních služeb</t>
  </si>
  <si>
    <t>Nespecifikované rezervy</t>
  </si>
  <si>
    <t>Ostatní činnosti</t>
  </si>
  <si>
    <t>Veřejné osvětlení</t>
  </si>
  <si>
    <t>Dary obyvatelstvu</t>
  </si>
  <si>
    <t>Převody vlastním fondům-převody sociálnímu fondu obcí</t>
  </si>
  <si>
    <t>Ochranné pomůcky - vlastní zdroje</t>
  </si>
  <si>
    <t>Drobný hmotný dlouhodobý majetek - vlastní zdroje</t>
  </si>
  <si>
    <t>Nákup materiálu - vlastní zdroje</t>
  </si>
  <si>
    <t>Pohonné hmoty a maziva  - vlastní zdroje</t>
  </si>
  <si>
    <t xml:space="preserve">Komunální služby a územní rozvoj </t>
  </si>
  <si>
    <t>Pohonné hmoty</t>
  </si>
  <si>
    <t>Obecné příjmy a výdaje z finančních operací</t>
  </si>
  <si>
    <t xml:space="preserve">Sociální rehabilitace </t>
  </si>
  <si>
    <t>Ostatní služby a činnosti v oblasti soc. péče  /Klub seniorů/</t>
  </si>
  <si>
    <t>Bezpečnost a veřejný pořádek-Městská policie</t>
  </si>
  <si>
    <t>Využití volného času dětí a mládeže</t>
  </si>
  <si>
    <t>Sportovní zařízení v majetku obce - S.K. Slovan Kunratice</t>
  </si>
  <si>
    <t>Nákup materiálu- koše výměna, barvy, náhr. díly k mobiliáři..</t>
  </si>
  <si>
    <t>Služby školení a vzdělávání - vlastní zdroje</t>
  </si>
  <si>
    <t>Základní školy celkem vč. investic</t>
  </si>
  <si>
    <t>Převod do fondu Domu s chráněnými byty</t>
  </si>
  <si>
    <t>Převody vlastním fondům-převod do fondu Domu s chráněnými byty</t>
  </si>
  <si>
    <t>Ostatní neinvestiční transfery obyvatelstvu-dárkové poukázky jubilantům</t>
  </si>
  <si>
    <t>Poštovní služby</t>
  </si>
  <si>
    <t>Opravy a udržování-běžné</t>
  </si>
  <si>
    <t xml:space="preserve">Odměny členů zastupitelstev vč. členů výborů a komisí </t>
  </si>
  <si>
    <t>Městská část Praha KUNRATICE</t>
  </si>
  <si>
    <t>Mateřské školy</t>
  </si>
  <si>
    <t>Daňové příjmy:</t>
  </si>
  <si>
    <t>Daňové příjmy celkem</t>
  </si>
  <si>
    <t>Nedaňové příjmy:</t>
  </si>
  <si>
    <t>Nedaňové příjmy celkem</t>
  </si>
  <si>
    <t>Konsolidace příjmů:</t>
  </si>
  <si>
    <t>Přijaté transfery:</t>
  </si>
  <si>
    <t>Zpracování dat a služby související s informačními technologiemi</t>
  </si>
  <si>
    <t>Převody z vlastních  fondů a mezi HMP a MČ- konsolidace příjmů celkem</t>
  </si>
  <si>
    <t>PŘÍJMY CELKEM vč. převodů z vlastních fondů a mezi HMP a MČ -dotační vztah</t>
  </si>
  <si>
    <t>Přijaté transfery celkem</t>
  </si>
  <si>
    <t>PŘÍJMY po konsolidaci-bez převodů z vlastních fondů a mezi HMP a MČ)</t>
  </si>
  <si>
    <t>Ochrana půdy a podz. vod proti infiltraci (odlučovač parkoviště Šeberák)</t>
  </si>
  <si>
    <t>Opravy a udržování-opravy inventáře</t>
  </si>
  <si>
    <t>Převody vlastním rozpočtovým účtům:posílení ze soc.fondu</t>
  </si>
  <si>
    <t>Převody vlastním fondům a mezi HMP a MČ - konsolidace výdajů celkem (par. 6330)</t>
  </si>
  <si>
    <t>VÝDAJE po konsolidaci bez převodů vlastním fondům a mezi HMP a MČ</t>
  </si>
  <si>
    <t>VÝDAJE CELKEM vč. převodů vlastním fondům a mezi HMP a MČ</t>
  </si>
  <si>
    <t xml:space="preserve">Výdaje běžné </t>
  </si>
  <si>
    <t>OBJEM VÝDAJU celkem</t>
  </si>
  <si>
    <t>Zpracování dat a služby související s informačními technologiemi-servisní služby přenosu dat-systém svolávání a informování Fireport</t>
  </si>
  <si>
    <t>Odměny za užití duševního vlastnictví-poplatek OSA</t>
  </si>
  <si>
    <t xml:space="preserve">OBJEM PŘÍJMU vč. dotačního vztahu po konsolidaci vlastních fondů - ZDROJE celkem                                                </t>
  </si>
  <si>
    <t>Nákup ostatních služeb- drobné služby</t>
  </si>
  <si>
    <t>Požární ochrana dobrovolná část</t>
  </si>
  <si>
    <t>Platby daní a poplatků státnímu rozpočtu-dálniční známka</t>
  </si>
  <si>
    <t>OBJEM PŘÍJMU - ZDROJE celkem</t>
  </si>
  <si>
    <t>REKAPITULACE</t>
  </si>
  <si>
    <t>ROZDÍL PŘÍJMU A VÝDAJU (-) schodek, (+) přebytek</t>
  </si>
  <si>
    <t>Plošné rekonstrukce komunikací Kunratice</t>
  </si>
  <si>
    <t xml:space="preserve">Dary obyvatelstvu </t>
  </si>
  <si>
    <t>Služby elektronických komunikací-telefonní poplatky</t>
  </si>
  <si>
    <t>Místní knihovna</t>
  </si>
  <si>
    <t xml:space="preserve">Nákup ostatních služeb: zimní údržba komunikací vč. úklidu po zimní údržbě, strojní čištění </t>
  </si>
  <si>
    <t xml:space="preserve"> Skutečnost Kč</t>
  </si>
  <si>
    <t>Převody z vlastních rezervních fondů-z fondu Domu s chráněnými byty</t>
  </si>
  <si>
    <t xml:space="preserve">Ostatní investiční výdaje silnice </t>
  </si>
  <si>
    <t>Nákup materiálu a doplňky k vybavení knihovny</t>
  </si>
  <si>
    <t>Nákup materiálu-spotřební materiál, náhradní díly, kusový nákup součástí dopravního značení (zrcadla, kužely, sloupky…)</t>
  </si>
  <si>
    <t>Neinvestiční transfery cizím příspěvkovým organizacím-zdravotnická zařízení</t>
  </si>
  <si>
    <t>Neinvestiční příspěvky zřízeným příspěvkovým organizacím: pravidelný roční příspěvek MČ</t>
  </si>
  <si>
    <t>Ostatní příjmy z pronájmu majetku-pronájem hrobů</t>
  </si>
  <si>
    <t>Nákup ostatních služeb-odvoz odpadu hřbitov</t>
  </si>
  <si>
    <t>Nákup ostatních služeb-údržba zeleně hřbitov</t>
  </si>
  <si>
    <t>Služby peněžních ústavů - pojištění majetku</t>
  </si>
  <si>
    <t>Nákup ostatních služeb: STK, projekty k opravám, výběrové řízení k opravám, autorský dozor k opravám a jiné dodávky prací (vyjádření k sítím, provizorní DZ k akcím,nové DZ,  posudky a ostatní podklady ke stavu komunikací, projednávání..):</t>
  </si>
  <si>
    <t>Opravy a udržování - opravy kanalizace</t>
  </si>
  <si>
    <t>Služby peněžních ústavů-bankovní poplatky</t>
  </si>
  <si>
    <t>Nákup materiálu-kronika, kulturní akce</t>
  </si>
  <si>
    <t>Nákup ostatních služeb - letní promítání filmů v Zámeckém parku</t>
  </si>
  <si>
    <t xml:space="preserve">Plyn </t>
  </si>
  <si>
    <t>Elektrická energie-spořeba el-en. uliční vánoční výzdoba MČ</t>
  </si>
  <si>
    <t>Nákup ostatních služeb - čištění kanalizace</t>
  </si>
  <si>
    <t xml:space="preserve">Investiční převody mezi statutátními městy a jejich MČ-investiční dotace </t>
  </si>
  <si>
    <t>VÝDAJE z převodů HM Praze (par. 6330 pol. 5347+pol. 6363) odvody</t>
  </si>
  <si>
    <t>Ochranné pomůcky-respirátory</t>
  </si>
  <si>
    <t>Posílení rozpočtu soc. fondu-příjem sociálního fondu</t>
  </si>
  <si>
    <t>Převody z vlastních fondů-ze sociálního fondu</t>
  </si>
  <si>
    <t>PŘÍJMY z dotačního vztahu (pol. 4137 a 4251 par. 6330)</t>
  </si>
  <si>
    <t>Služby peněžních ústavů - pojištění hasičů strojníků</t>
  </si>
  <si>
    <t xml:space="preserve">Nákup ostatních služeb </t>
  </si>
  <si>
    <t>Údržba vodního díla -rybník Ohrada (Kontrola stavu objektu rybníka Ohrada a odtokové části, čištění, opravy poškození po přívalovém dešti)</t>
  </si>
  <si>
    <t>Ostatní sportovní činnost</t>
  </si>
  <si>
    <t>Ostatní činnost ve zdravotnictví</t>
  </si>
  <si>
    <t>Povinné pojistné na sociální zabezpečení a politiku zaměstnanosti</t>
  </si>
  <si>
    <t xml:space="preserve">Domovy se zvláštním režimem - Dům s chráněnými byty </t>
  </si>
  <si>
    <t>Převody z vlastních rezervních fondů-z fondu Domu s chráněnými byty na provoz a akce DCHB</t>
  </si>
  <si>
    <t>Ing. Lenka Alinčová, starostka MČ Praha Kunratice</t>
  </si>
  <si>
    <t xml:space="preserve">Neinvestiční transfery spolkům  </t>
  </si>
  <si>
    <t>Výstavba tělocvičny ZŠ Kunratice:</t>
  </si>
  <si>
    <t>Nákup ostatních služeb:</t>
  </si>
  <si>
    <t>akce pro obyvatele a drobné služby</t>
  </si>
  <si>
    <t>Příjem z poplatků ze psů</t>
  </si>
  <si>
    <t xml:space="preserve">Příjem z poplatků z pobytu </t>
  </si>
  <si>
    <t xml:space="preserve">Příjem z poplatku za užívání veřejného prostranství  </t>
  </si>
  <si>
    <t>Příjem z poplatku ze vstupného</t>
  </si>
  <si>
    <t xml:space="preserve">Příjem ze správních poplatků </t>
  </si>
  <si>
    <t>Příjem z daně z nemovitých věcí</t>
  </si>
  <si>
    <t>Příjmy z poskytování služeb a výrobků, prací, výkonů a práv - knihovna</t>
  </si>
  <si>
    <t>Příjmy z poskytování služeb a výrobků, prací, výkonů a práv -pohřebnictví</t>
  </si>
  <si>
    <t>Příjmy z poskytování služeb a výrobků, prací, výkonů a práv - místní správa-úhrada za poskytování informací dle zákona 106/1999 Sb.</t>
  </si>
  <si>
    <t>Příjem sankčních plateb přijatých od jiných osob - smluvní pokuty a pokuty z přestupků</t>
  </si>
  <si>
    <t>Přijaté neinvestiční příspěvky a náhrady- přeplatky záloh, vypořádání záloh (Česká pošta aj.), náklady v přestupkovém řízení</t>
  </si>
  <si>
    <t>Ostatní převody z vlastních fondů-ze sociálního fondu</t>
  </si>
  <si>
    <r>
      <t>Neinvestiční převody mezi statutátními městy a jejich městskými obvody nebo částmi - transfer z HMP -</t>
    </r>
    <r>
      <rPr>
        <b/>
        <sz val="12"/>
        <rFont val="Arial CE"/>
        <charset val="238"/>
      </rPr>
      <t>souhrnný dotační vztah</t>
    </r>
  </si>
  <si>
    <r>
      <t>Neinvestiční převody mezi statutátními městy a jejich městskými obvody nebo částmi - transfer ze státního rozpočtu -</t>
    </r>
    <r>
      <rPr>
        <b/>
        <sz val="12"/>
        <rFont val="Arial CE"/>
        <charset val="238"/>
      </rPr>
      <t>souhrnný dotační vztah</t>
    </r>
  </si>
  <si>
    <r>
      <t xml:space="preserve">Investiční převody mezi statutátními městy a jejich městskými obvody nebo částmi - </t>
    </r>
    <r>
      <rPr>
        <b/>
        <sz val="12"/>
        <rFont val="Arial CE"/>
        <charset val="238"/>
      </rPr>
      <t>investiční dotace HMP:</t>
    </r>
  </si>
  <si>
    <t>Neinvestiční převody mezi statutátními městy a jejich MČ-transfer ze SR a HMP souhrnný dotační vztah a přijaté neinvestiční dotace</t>
  </si>
  <si>
    <t>Stavby</t>
  </si>
  <si>
    <t>Stavby-ostatní stavby-přístřešky-oplocení míst na popelnice</t>
  </si>
  <si>
    <t>Prádlo, oděv a obuv s výjimkou ochranných pomůcek</t>
  </si>
  <si>
    <t>Elektrická energie - Napájení veřejného osvětlení v majetku MČ dle smlouvy s THMP do doby převodu na HMP</t>
  </si>
  <si>
    <t xml:space="preserve">Nákup ostatních služeb - akce Divadlo v parku </t>
  </si>
  <si>
    <t>Výdaje na věcné dary-jubileum občana</t>
  </si>
  <si>
    <t>Výdaje na věcné dary (dárky ke Dni učitelů)</t>
  </si>
  <si>
    <t>Ostatní činnosti související se službami pro fyzické osoby</t>
  </si>
  <si>
    <t xml:space="preserve">Neinvestiční transfery spolkům -Rehabilitace Hornomlýnská </t>
  </si>
  <si>
    <t>Neinvestiční transfery spolkům:</t>
  </si>
  <si>
    <t>Neinvestiční transfery spolkům - PC klub pro hendikepované Křižovatka, z.s.</t>
  </si>
  <si>
    <t>Výdaje na věcné dary-květiny apod. účinkujícím při kulturních pořadech</t>
  </si>
  <si>
    <t>Knihy a obdobné listinné informační prostředky</t>
  </si>
  <si>
    <t>Knihy a obdobné listinné informační prostředky - vlastní zdroje</t>
  </si>
  <si>
    <t xml:space="preserve">                                                                                 - dotace HMP</t>
  </si>
  <si>
    <t>Pojistné na zákonné pojištění odpovědnosti zaměstnavatele za škodu při pracovním úrazu nebo nemoci z povolání</t>
  </si>
  <si>
    <t>Podlimitní programové vybavení</t>
  </si>
  <si>
    <t>Ostatní neinvestiční transfery fyzickým osobám-sociální fond</t>
  </si>
  <si>
    <t>Ostatní neinvestiční transfery fyzickým osobám</t>
  </si>
  <si>
    <t xml:space="preserve">Neinvestiční transfery spolkům -STP MO Flora </t>
  </si>
  <si>
    <t>Léky a zdravotnický materiál - vybavení lékárniček</t>
  </si>
  <si>
    <t>Dary fyzickým osobám - výstavy, kulturní akce</t>
  </si>
  <si>
    <t>Nákup ostatních služeb-KZ, kulturní akce (Vítání jara…)</t>
  </si>
  <si>
    <t xml:space="preserve">                                              posílení z fondu DCHB-provoz DCHB</t>
  </si>
  <si>
    <t xml:space="preserve">Ostatní neinvestiční transfery neziskovým apod. osobám - SK Slovan Kunratice </t>
  </si>
  <si>
    <t>Údržba zeleně v obci,výsadba stromů, údržba revitalizovaného území Zelené cesty</t>
  </si>
  <si>
    <t>Prádlo, oděv, obuv s výjimkou ochranných pomůcek</t>
  </si>
  <si>
    <t>Dary fyzickým osobám</t>
  </si>
  <si>
    <t>Pojištění funkčně nespecifikované</t>
  </si>
  <si>
    <r>
      <t xml:space="preserve">Neinvestiční převody mezi statutátními městy a jejich MČ - </t>
    </r>
    <r>
      <rPr>
        <b/>
        <sz val="12"/>
        <rFont val="Arial CE"/>
        <charset val="238"/>
      </rPr>
      <t>neinvestiční dotace:</t>
    </r>
  </si>
  <si>
    <t>Převody z vlastních fondů podnikatelské činnosti-část nerozděleného zisku VHČ - posílení rozpočtu</t>
  </si>
  <si>
    <t>Posílení rozpočtu sociálního fondu-příjem sociálního fondu</t>
  </si>
  <si>
    <t>Nájemné (kupř. umístění výstražného zařízení na sloupech veř. osvětlení, nájem dopravního značení a j.)</t>
  </si>
  <si>
    <t>Výdaje na věcné dary (dárky účastníkům akcí, květiny, nákup mincí pro vítání občánků)</t>
  </si>
  <si>
    <t xml:space="preserve">Nákup materiálu  (podlahová krytina,ostatní drobný...) </t>
  </si>
  <si>
    <t xml:space="preserve">ostatní opravy-techniky, výměna a opravy svislého dopravního značení a příslušenství, obnova vodorovného dopravního značení  </t>
  </si>
  <si>
    <t>Nákup ostatních služeb-revize hřišť, informační tabule aj.</t>
  </si>
  <si>
    <t xml:space="preserve">Opravy a udržování - úprava chodníčků, oprava hřbitovní zdi a ostatní drobné opravy </t>
  </si>
  <si>
    <t>Sociální pomoc osobám v hmotné nouzi</t>
  </si>
  <si>
    <t xml:space="preserve">Služby školení a vzdělávání </t>
  </si>
  <si>
    <t xml:space="preserve">Platby daní krajům, obcím a st. fondům-správní poplatky-např. stavebnímu úřadu, katastrálnímu úřadu ověřování.. </t>
  </si>
  <si>
    <t>Příjmy z poskytování služeb a výrobků, prací, výkonů a práv - kultura</t>
  </si>
  <si>
    <t>Drobný hmotný dlouhodobý majetek-mobiliář hřiště, veř. prostranství</t>
  </si>
  <si>
    <t>Neinvestiční transfery fundacím, ústavům a obecně prospěšným společnostem - Národní ústav pro autismus</t>
  </si>
  <si>
    <t xml:space="preserve">Nákup materiálu - dotace HMP </t>
  </si>
  <si>
    <t>Pomoc pražským domácnostem ohroženým inflací -realizace opatření pro pražské domácnosti-schválené stravné, školné, fond solidarity -ponechaná dotace HMP</t>
  </si>
  <si>
    <t>Pomoc pražským domácnostem ohroženým inflací -realizace opatření pro pražské domácnosti-schválené stravné, školné, fond solidarity - ponechaná dotace HMP</t>
  </si>
  <si>
    <t>Neinvestiční transfery spolkům  - Kunratice žijou, z.s.</t>
  </si>
  <si>
    <t>Neinvestiční transfery neziskovým apod. organizacím-SH ČMS SDH Praha Kunratice</t>
  </si>
  <si>
    <t>Ostatní přijaté vratky transferů-vratky dotací k finančnímu vypořádání:</t>
  </si>
  <si>
    <t xml:space="preserve">Nákup ostatních služeb - Babí léto </t>
  </si>
  <si>
    <t>Opravy a udržování  -dotace HMP-oprava techniky</t>
  </si>
  <si>
    <t>Stavby-nová dešťová kanalizace ul. Lisztova</t>
  </si>
  <si>
    <t>Kapitálové příjmy celkem</t>
  </si>
  <si>
    <t>Převody vlastním fondům, převody z rozpočtových účtů:</t>
  </si>
  <si>
    <t>Pohonné hmoty -sekačka</t>
  </si>
  <si>
    <t xml:space="preserve">Opravy a udržování: opravy výtluků </t>
  </si>
  <si>
    <t xml:space="preserve">údržba dlažby chodníků, obruby </t>
  </si>
  <si>
    <t>Stavby:</t>
  </si>
  <si>
    <t>Revitalizace říčních systémů a vodních ploch - rybník Ohrada</t>
  </si>
  <si>
    <t>Mateřská škola</t>
  </si>
  <si>
    <t>Základní škola</t>
  </si>
  <si>
    <t xml:space="preserve">Stavby </t>
  </si>
  <si>
    <t>Opravy a udržování - zámecká zeď a zámecký park (2023 revitalizace amfiteátru v Zámeckém parku)</t>
  </si>
  <si>
    <t xml:space="preserve">Konzultační, poradenské a právní služby pro MČ </t>
  </si>
  <si>
    <t>Opravy a udržování - zázemí Zámeckého parku Golčova 28</t>
  </si>
  <si>
    <t>Zachování a obnova kulturních památek-Zámecká zeď a park</t>
  </si>
  <si>
    <t xml:space="preserve">Nespecifikované rezervy - rezerva pro ev. službu tísňového volání </t>
  </si>
  <si>
    <t xml:space="preserve">Nákup ostatních služeb - vlastní zdroje - ostraha, lékař. prohlídky,  STK+emise </t>
  </si>
  <si>
    <t>Ostatní neinvestiční transfery jiným veř. rozpočtům (PČR)</t>
  </si>
  <si>
    <t xml:space="preserve">Ostatní neinvestiční transfery obyvatelstvu-zájezdy pro seniory a podpora plavání </t>
  </si>
  <si>
    <t xml:space="preserve">Příjem z pojistných plnění </t>
  </si>
  <si>
    <t>OBJEM VÝDAJU vč. převodů mezi HMP a MČ a odvody fin. vypořádání</t>
  </si>
  <si>
    <t>Rekonstrukce mateřské školy Kunratice-investiční  dotace HMP roku 2024</t>
  </si>
  <si>
    <t>PRK V. oblast U zámeckého parku (SOD 24 15..1 868,24 tis.)</t>
  </si>
  <si>
    <t>Ostatní neinvestiční transfery fyzickým osobám-konsolidace sociální fond</t>
  </si>
  <si>
    <t>Ostatní neinv. transfery neziskovým apod. osobám (Junák)</t>
  </si>
  <si>
    <t>Opravy a udržování-opravy polyfunkčních hřišť (opravy betonových ploch stolní tenis, opravy branek, sítí, herních prvků)</t>
  </si>
  <si>
    <t>Nákup ostatních služeb - náhrada od MMR nákladů na sociální pohřby</t>
  </si>
  <si>
    <t>Elektrická energie Golčova 28 a některé akce v Zámeckém parku</t>
  </si>
  <si>
    <t>revize, mytí oken, střihání živých plotů, seč trávy, ostatní služby</t>
  </si>
  <si>
    <t xml:space="preserve">Výstavba tělocvičny ZŠ Kunratice </t>
  </si>
  <si>
    <t>Stavby - sanace objektu Golčova 24</t>
  </si>
  <si>
    <t>IV. etapa - cyklotrasa A 213 pořízení projektové dokumentace-vlastní zdroje (SOD 20 016 3 00)</t>
  </si>
  <si>
    <t>Výdaje na věcné dary - knihy pro prvňáčky, dárky ke Dni učitelů</t>
  </si>
  <si>
    <t xml:space="preserve">Opravy a udržování  - vlastní zdroje - běžné opravy-výměna pneu, oprava plošiny,  oprava Renault   </t>
  </si>
  <si>
    <t>Drobný hmotný dlouhodobý majetek (..stojany na kola, nástroje, rok 2024 nádoby na posyp. materiál))</t>
  </si>
  <si>
    <t>Přijaté dary na pořízení dlouhodobého majetku-finanční příspěvek v souladu s návrhem "Metodiky spolupodílů investorů do území"</t>
  </si>
  <si>
    <t>Akce započaté v roce 2024:</t>
  </si>
  <si>
    <r>
      <t>2024 Celkem investice Silnice  rozpočet</t>
    </r>
    <r>
      <rPr>
        <b/>
        <sz val="12"/>
        <rFont val="Arial CE"/>
        <charset val="238"/>
      </rPr>
      <t xml:space="preserve"> 30 916,1 tis.,</t>
    </r>
    <r>
      <rPr>
        <sz val="12"/>
        <rFont val="Arial CE"/>
        <charset val="238"/>
      </rPr>
      <t xml:space="preserve"> skutečnost </t>
    </r>
    <r>
      <rPr>
        <b/>
        <sz val="12"/>
        <rFont val="Arial CE"/>
        <charset val="238"/>
      </rPr>
      <t>19 261 650,20 Kč</t>
    </r>
  </si>
  <si>
    <t>Rekonstrukce ulic Klínovecká, Kriváňská</t>
  </si>
  <si>
    <t>Rekonstrukce chodníku Hornomlýnská-Kunratický les</t>
  </si>
  <si>
    <t>PD rekonstrukce mostu v ulici Úhlavská</t>
  </si>
  <si>
    <t>Rekonstrukce ulice V Jahodách</t>
  </si>
  <si>
    <t>Investiční rezerva</t>
  </si>
  <si>
    <t>Přijaté dary na pořízení dlouhodobého majetku-finanční příspěvek na veřejně prospěšné účely, zejména na vzdělávání, na podporu a ochranu mládeže, sport</t>
  </si>
  <si>
    <t>Vlastní zdroje - do doby schválení převodu dotace HMP z předešlých let</t>
  </si>
  <si>
    <t xml:space="preserve">Příjmy z prodeje zboží-kultura-knihy o Kunraticích </t>
  </si>
  <si>
    <t>Rekonstrukce chodníků podél rybníku Ohrada</t>
  </si>
  <si>
    <t>Stavby-PD a realizace sportoviště pumptrack</t>
  </si>
  <si>
    <t xml:space="preserve">Nákup materiálu </t>
  </si>
  <si>
    <t xml:space="preserve">Stavby - prodloužení mlatových cest, nové oplocení urnového háje, rozšíření hřbitova </t>
  </si>
  <si>
    <t>Konzultační, poradenské a právní služby - Studie systému sídelní zeleně</t>
  </si>
  <si>
    <t xml:space="preserve">Nákup ostatních služeb-drobné služby </t>
  </si>
  <si>
    <t>Regenerace dřevin na hřbitově v Praze Kunraticích-vlastní zdroje, žádost o ponechání dotace HMP</t>
  </si>
  <si>
    <t>Opravy a udržování objekt čp. 34 Golčova MP</t>
  </si>
  <si>
    <t>Obnova vozového parku</t>
  </si>
  <si>
    <t>Nájemné-kopírka, tiskárna Minolta</t>
  </si>
  <si>
    <t>Ostatní nákupy jinde nezařazené- členský příspěvek Svazu MČ HMP</t>
  </si>
  <si>
    <t>Stavby-Likvidace dřevěného objektu v prostoru za radnicí při ul. Ještědská, oplocení prostranství, úprava plochy po odstranění objektu</t>
  </si>
  <si>
    <t xml:space="preserve">Stroje, přístroje, zařízení-pořízení interaktivních tabulí </t>
  </si>
  <si>
    <t>Budovy, stavby- altán-venkovní učebna</t>
  </si>
  <si>
    <t>Drobný hmotný dlouhodobý  majetek - vybavení nábytkem kabinetů a učeben</t>
  </si>
  <si>
    <t>Zpracování dat a služby související s informačními technologiemi, programové licence správních agend, správa a tvorba web stránek a ost. sítí</t>
  </si>
  <si>
    <t>Nákup ostatních služeb - ostraha, úklid, revize, STK, znal. posudky, geod. zaměření, účetní služby, mytí oken, servis kašny, služby komunikace, pronájem kopírky-tiskárny, obnova certifikátů, ostatní běžné</t>
  </si>
  <si>
    <t>Knihy a obdobné listinné informační prostředky - Kniha Kunratický zámek</t>
  </si>
  <si>
    <t>RS 2025</t>
  </si>
  <si>
    <t>RU 2025</t>
  </si>
  <si>
    <t>Příjem 100% podílu MČ na celkové daňové povinnosti HMP na dani z příjmu práv. osob za rok 2024</t>
  </si>
  <si>
    <t>Drobný hmotný dlouhodobý majetek-vybavení vnitřních prostor areálu SK Slovan</t>
  </si>
  <si>
    <t xml:space="preserve">Platby daní krajům, obcím a st. fondům-daň z příjmu 2024 z hlavní činnosti </t>
  </si>
  <si>
    <t>Stavby - Výměna oken objektu domu s chráněnými byty-zbývající část</t>
  </si>
  <si>
    <t>III. etapa Rekonstrukce dalších ulic - vlastní zdroje, inženýrská činnost</t>
  </si>
  <si>
    <t>Rekonstrukce ul. K Betáni (obj. 77/2024 DVZ, SOD 24 018 300 Pozkom)</t>
  </si>
  <si>
    <t>ZŠ vratka dotace od Základní školy-Šablony I podíl EU a MŠMT</t>
  </si>
  <si>
    <t>OP Jan Amos Komenský projekt Šablony II Základní školy Kunratice</t>
  </si>
  <si>
    <t xml:space="preserve">Rekonstrukce mateřské školy Kunratice-výměna oken, zateplení budovy (SOD 24 013 3 00) - ponechaná dotace HMP roku 2023 </t>
  </si>
  <si>
    <t>Ponechané prostředky dotace HMP z předešlých let (2021, 2022, 2024)</t>
  </si>
  <si>
    <t>Opravy a udržování - oprava venkovních dlažeb a vstupů</t>
  </si>
  <si>
    <t>Spolufinancování zřizovatele k projektu OP Jan Amos Komenský Šablony II</t>
  </si>
  <si>
    <t>6121</t>
  </si>
  <si>
    <t>Regenerace dřevin na hřbitově v Praze Kunraticích-ponechaná dotace HMP</t>
  </si>
  <si>
    <t xml:space="preserve">Pohoštění-pohotovost </t>
  </si>
  <si>
    <t xml:space="preserve">Platby daní krajům, obcím a st. fondům-správní poplatky </t>
  </si>
  <si>
    <t>Převody vlastní pokladně</t>
  </si>
  <si>
    <t>Stavební úpravy na hrázi v ulici K Verneráku</t>
  </si>
  <si>
    <t>Dotace HMP Reuse den</t>
  </si>
  <si>
    <t>Akce Reuse den</t>
  </si>
  <si>
    <t>ZŠ Kunratice-Program primární prevence "Podpora třídních kolektivů.."</t>
  </si>
  <si>
    <t>ZŠ Kunratice-Program celoměstské podpory vzdělávání "Rozvoj dovednosti pracovníků poradenského pracoviště a pedagogů.." a "Otevírání hřišť pro veřejnost"</t>
  </si>
  <si>
    <t>Neinvestiční dotace HMP z Programu primární prevence na projekt "Podpora třídních kolektivů prostřednictvím sociomapování a působení metodika prvence"</t>
  </si>
  <si>
    <t>Neinvestiční dotace HMP z Programu podpory vzdělávání na projekt "Otevírání hřišť provozovaných ZŠ zřizovanými MČ za účelem mimoškolních aktivit pro veřejnost"</t>
  </si>
  <si>
    <t>Neinvestiční dotace HMP z Programu podpory vzdělávání na projekt "Rozvoj dovednosti pracovníků školního poradenského pracoviště a pedagogů.."</t>
  </si>
  <si>
    <t xml:space="preserve">Posílení mzdových prostředků zaměstnanců škol a školských zařízení </t>
  </si>
  <si>
    <t>Posílení mzdových prostředků zaměstnanců škol a školských zařízení</t>
  </si>
  <si>
    <t xml:space="preserve">Rekonstrukce mateřské školy Kunratice-výměna oken, zateplení budovy (SOD 24 013 3 00) rok 2025 vlastní zdroje a žádost o ponechání dotace roku 2023 </t>
  </si>
  <si>
    <t>Posílení mzdových prostředků zaměstnanců škol a školských zařízení -dotace HMP</t>
  </si>
  <si>
    <t>Nájemné-informační stojan na veřejné prostranství</t>
  </si>
  <si>
    <t>Ostatní nákupy jinde nezařazené- členský příspěvek Svazu tajemníků MČ</t>
  </si>
  <si>
    <t>Ostatní nákupy-registrační poplatek soutěž</t>
  </si>
  <si>
    <t>Nájemné-hygienické zázemí hřiště "u kravína" a u hřbitova</t>
  </si>
  <si>
    <t>Ochranné pomůcky-dotace HMP-zásahové oděvy a příslušenství</t>
  </si>
  <si>
    <t>Investiční dotace z rezervy rozpočtu HMP 2025</t>
  </si>
  <si>
    <t>Investiční dotace z rozpočtu HMP 2025</t>
  </si>
  <si>
    <t>ZŠ vratka dotace od Základní školy-Mzdové prostředky roku 2024</t>
  </si>
  <si>
    <t>Vratka dotace EU-JAK Šablony I ZŠ Kunratice</t>
  </si>
  <si>
    <t xml:space="preserve">Vratka dotace mzdové prostředky 2024 ZŠ Kunratice </t>
  </si>
  <si>
    <t>Vratka invest. dotace z roku 2023 Plošné rek. komunikací</t>
  </si>
  <si>
    <t xml:space="preserve">Neinvestiční a investiční převody mezi statutátními městy a jejich městskými obvody nebo částmi-výdaje - finanční vypořádání za rok 2024 se státním rozpočtem a rozpočtem HMP: </t>
  </si>
  <si>
    <t>Neinvestiční dotace na činnost jednotky dobrovolných hasičů Kunratice</t>
  </si>
  <si>
    <t>Podíl na prostředcích obdržených jako výnos z daně z hazardních her a jako odvod z loterií</t>
  </si>
  <si>
    <t>Rekonstrukce mateřské školy Kunratice- zateplení budovy, doplnění PD a realizace- vlastní zdroje - zdroje z příspěvku na investice do školství</t>
  </si>
  <si>
    <t xml:space="preserve">Rekonstrukce mateřské školy Kunratice- zateplení budovy, doplnění PD a realizace- vlastní zdroje </t>
  </si>
  <si>
    <t xml:space="preserve">Neinvestiční příspěvky zřízeným PO - příspěvek MČ na pořízení DDHM </t>
  </si>
  <si>
    <t>Investiční transfery zřízeným PO-Investiční příspěvek MČ na pořízení interaktivních tabulí</t>
  </si>
  <si>
    <t>Drobný hmotný dlouhodobý majetek - dotace HMP nosiče DT</t>
  </si>
  <si>
    <t>Drobný hmotný dlouhodobý majetek - dotace HMP nosiče DT navýšení</t>
  </si>
  <si>
    <t xml:space="preserve">Drobný hmotný dlouhodobý majetek ostatní - dotace HMP </t>
  </si>
  <si>
    <t>Neinvestiční transfery ústavům a obecně prospěšným společnostem - Žít spolu</t>
  </si>
  <si>
    <t>Neinvestiční transfery cizím přísp. organizacím (Dům dětí a mládeže-pěvecká soutěž)</t>
  </si>
  <si>
    <t>Neinvestiční transfery spolkům  4Students-festival, Start98</t>
  </si>
  <si>
    <t>Ostatní neinv. transfery neziskovým apod. osobám TJ Sokol Kunratice</t>
  </si>
  <si>
    <t>Neinvestiční transfery cizm příspěvkovým organizacím Dům dětí a mládeže - sportovní kroužky</t>
  </si>
  <si>
    <t>Dotace MF-Volby do poslanecké sněmovny PČR</t>
  </si>
  <si>
    <t>Doplatek dotace na volby do EP z finančního vypořádání za rok 2024</t>
  </si>
  <si>
    <t>PD rekonstrukce ulic oblast Mašatova (PRK VI SOD 25 02 3 00)</t>
  </si>
  <si>
    <t xml:space="preserve">Drobný hmotný dlouhodobý majetek </t>
  </si>
  <si>
    <t>Drobný hmotný dlouhodobý majetek (nářadí)</t>
  </si>
  <si>
    <t>Volby do Poslanecké sněmovny PČR</t>
  </si>
  <si>
    <t>Převod na spořící účet MČ (nezahrnutí do rozpočtu)</t>
  </si>
  <si>
    <t>Převody z vlastních fondů podnikatelské činnosti pro převod do fondu Domu s chráněnými byty</t>
  </si>
  <si>
    <t xml:space="preserve">Přijaté neinvestiční příspěvky, dary </t>
  </si>
  <si>
    <t xml:space="preserve">                                              Převod na spořící účet MČ (nezapojení do rozpočtu)</t>
  </si>
  <si>
    <t xml:space="preserve">Odvod  dotace na volby do Senátu v roce 2024 </t>
  </si>
  <si>
    <t>Nájemné</t>
  </si>
  <si>
    <t xml:space="preserve">Neinvestiční transfery spolkům (Český svaz chovatelů 10,0 tis., Kynologové 20,0 tis.) </t>
  </si>
  <si>
    <t xml:space="preserve">Stavby-pořízení herních prvků dětských hřišť a sestav na veřejná prostranství- (2024 herní prvky zvířat v Zámeckém parku-Drak, Luční koník, Křeslo,  nerezové pítko, houpačka Vimp. nám.) rok 2025 výměna prvků, nový prvek, pítko na veřejné prostranství u radnice, dřevořezby zvířat-herních prvků, solární lampy </t>
  </si>
  <si>
    <t>Výjezdové vozidlo pro JSDH Kunratice</t>
  </si>
  <si>
    <t xml:space="preserve">Dotace HMP na úhradu nákladů na úklid a na nakládání s odpady tabákových výrobků </t>
  </si>
  <si>
    <t>Dotace HMP na úhradu nákladů na úklid a na nakládání s odpady tabákových výrobků -úklid odpadkových košů</t>
  </si>
  <si>
    <t>Rekonstrukce Kostelního náměstí (SOD 24 10 300 DIPRO PRK III 1 936,0 tis., obj. 134/2024 urban. studie Kostel. nám. 205,7 tis.)</t>
  </si>
  <si>
    <r>
      <t>Nákup ostatních služeb: Pořízení služeb k úklidu a drobné údržbě komunikací a přilehlých veřejných prostranství, odstraňování grafitti a následků vandalismu na majetku MČ a mobiliáři, šintování komunikací, strojové mytí chodníků, kropení, ruční šintování plevele, ruční dometení vozovek a chodníků, odvoz odpadu po strojním čištění, úklid atobusových zastávek, parkovišť, podpora projektu Ukliďme Česko - (</t>
    </r>
    <r>
      <rPr>
        <sz val="12"/>
        <color theme="4" tint="-0.249977111117893"/>
        <rFont val="Arial CE"/>
        <charset val="238"/>
      </rPr>
      <t>rok 2025 strojní čištění 415 344,0 Kč, rok 2024 strojní čištění komunikací, šintování, komunikace, chodníky, 341 487,92 Kč)</t>
    </r>
    <r>
      <rPr>
        <sz val="12"/>
        <rFont val="Arial CE"/>
        <charset val="238"/>
      </rPr>
      <t xml:space="preserve">  </t>
    </r>
  </si>
  <si>
    <r>
      <t>Celkem investice Rekonstrukce MŠ rozpočet</t>
    </r>
    <r>
      <rPr>
        <b/>
        <sz val="12"/>
        <rFont val="Arial CE"/>
        <charset val="238"/>
      </rPr>
      <t xml:space="preserve"> 23 797,3 tis. </t>
    </r>
    <r>
      <rPr>
        <sz val="12"/>
        <rFont val="Arial CE"/>
        <charset val="238"/>
      </rPr>
      <t xml:space="preserve">(použity jsou i zdroje z příspěvku na investice do školství), skutečnost </t>
    </r>
    <r>
      <rPr>
        <b/>
        <sz val="12"/>
        <rFont val="Arial CE"/>
        <charset val="238"/>
      </rPr>
      <t>21 042 376,56 Kč</t>
    </r>
  </si>
  <si>
    <t>Ochranné pomůcky</t>
  </si>
  <si>
    <t>Prádlo, oděv, obuv</t>
  </si>
  <si>
    <t>Podlimitní technické zhodnocení</t>
  </si>
  <si>
    <t>Stroje, přístroje, zařízení - elektrocentrála</t>
  </si>
  <si>
    <t>Výdaje na věcné dary (dárky účastníkům akcí, květiny aj.)</t>
  </si>
  <si>
    <t>Návrh</t>
  </si>
  <si>
    <t>Rozpočet městské části na rok 2026 bude projednán Zastupitelstvem MČ Praha Kunratice dne 22. 12. 2025</t>
  </si>
  <si>
    <t>NÁVRH ROZPOČTU 2026 a Plnění příjmů a čerpání výdajů rozpočtu 2025</t>
  </si>
  <si>
    <t xml:space="preserve"> NÁVRH ROZPOČTU 2026 a Plnění příjmů a čerpání výdajů rozpočtu 2025</t>
  </si>
  <si>
    <t>NÁVRH</t>
  </si>
  <si>
    <t>Akce v roce 2025:</t>
  </si>
  <si>
    <t>Nové akce v roce 2026:</t>
  </si>
  <si>
    <t>Rekonstrukce ulice Golčova (úsek Volarská-K Betáni)</t>
  </si>
  <si>
    <t>Chodníkový program 2026  - PD Vimperské náměstí-doplnění pěších vazeb a parkovacích míst</t>
  </si>
  <si>
    <t>Oprava chodníku v ul. Nad Šeberákem</t>
  </si>
  <si>
    <t>Oprava chodníku a cest okolo budovy úřadu MČ směrem k parkovišti u pobočky České pošty</t>
  </si>
  <si>
    <t>Neinvestiční příspěvky zřízeným příspěvkovým organizacím, spoluúčast MČ projektu OP JAK Šablony II</t>
  </si>
  <si>
    <t>Neinvestiční příspěvky zřízeným příspěvkovým organizacím, roční příspěvek MČ</t>
  </si>
  <si>
    <t>Neinvestiční rezerva</t>
  </si>
  <si>
    <t>III. etapa dostatvby ZŠ-zřízení centrálního protipožárního systému</t>
  </si>
  <si>
    <r>
      <t>2025 Výstavba tělocvičny celkem rozpočet</t>
    </r>
    <r>
      <rPr>
        <b/>
        <sz val="12"/>
        <rFont val="Arial CE"/>
        <charset val="238"/>
      </rPr>
      <t xml:space="preserve"> 117 599,5 tis. Kč, skutečnost 29 775 602,43 Kč</t>
    </r>
  </si>
  <si>
    <t>Vlastní zdroje - nad zdroje po schválení převodu dotace HMP z roku 2025</t>
  </si>
  <si>
    <t xml:space="preserve">2025 Budovy, haly, stavby-Areál fotbalového stadionu SK Slovan Kunratice </t>
  </si>
  <si>
    <t>2026Budovy, haly, stavby-Areál fotbalového stadionu SK Slovan Kunratice PD výměny povrchu tréninkového hřiště a malé tribuny</t>
  </si>
  <si>
    <t>Opravy a udržování-běžné opravy (oprava světel nouzového osvětlení osvětlení spol. prostor, oprava omítky, oprava zvonků, odvodnění balkonu) oprava chodníku a cest</t>
  </si>
  <si>
    <t>Výjezdové vozidlo pro JSDH Kunratice-investiční dotace HMP-žádost o ponechání</t>
  </si>
  <si>
    <t>Odchodné</t>
  </si>
  <si>
    <t>Drobný hmotný dlouhodobý majetek-pořízení notebooků</t>
  </si>
  <si>
    <t>Drobný hmotný dlouhodobý  majetek - obnova IT vybavení, obnova nábytku</t>
  </si>
  <si>
    <t>2026 tis. Kč</t>
  </si>
  <si>
    <t xml:space="preserve">2026 tis. Kč </t>
  </si>
  <si>
    <t>terénní úpravy - revitalizace zahrady DCHB-dokumentace a sadové úpravy, výsadba zeleně</t>
  </si>
  <si>
    <t>2025 Nákup ostatních služeb celkem rozpočet 2 671,0 tis. Kč,                           skutečnost 1 282 136,92 Kč</t>
  </si>
  <si>
    <t>ostatní opravy komunikací (..oprava chodníku v ul. Hornomlýnská 532 037,0 Kč, oprava ul. V Jahodách 194 810,0..) oprava v ul. Pražského povstání</t>
  </si>
  <si>
    <t>Rekonstrukce Kostelního náměstí vč. projektové dokumentace</t>
  </si>
  <si>
    <r>
      <rPr>
        <b/>
        <sz val="12"/>
        <rFont val="Arial CE"/>
        <charset val="238"/>
      </rPr>
      <t>II. etapa dostavby ZŠ Kunratice</t>
    </r>
    <r>
      <rPr>
        <sz val="12"/>
        <rFont val="Arial CE"/>
        <charset val="238"/>
      </rPr>
      <t xml:space="preserve">-přístavba tělocvičny, venkovního hřiště vč. polyfunkčního altánu, rozpočtová částka celkem 74 000,0 tis. Kč: </t>
    </r>
  </si>
  <si>
    <r>
      <t>2026 Výstavba tělocvičny celkem rozpočet</t>
    </r>
    <r>
      <rPr>
        <b/>
        <sz val="12"/>
        <rFont val="Arial CE"/>
        <charset val="238"/>
      </rPr>
      <t xml:space="preserve"> 76 000,0 tis. Kč</t>
    </r>
  </si>
  <si>
    <t>Nákup ostatních služeb, objekt Golčova 24, drobné služby, revize, služby spojené s opravami, sanací objektu, stěhování nábytku aj.</t>
  </si>
  <si>
    <t>Nákup ostatních služeb - běžné služby (úprava hrobového místa)</t>
  </si>
  <si>
    <t xml:space="preserve">Spoluúčast MČ k dotaci Ministerstva obrany na zhotovení pamětní desky u pietního místa obětí první světové války </t>
  </si>
  <si>
    <t>Opravy a udržování - opravy objektu čp. 8 K Libuši</t>
  </si>
  <si>
    <t>Dary fyzickým osobám - podpora aktivit seniorů</t>
  </si>
  <si>
    <t xml:space="preserve">Neinvestiční transfery fundacím, ústavům a obecně prospěšným společnostem  Polovina nebe, o.p.s., Modrý klíč, o.p.s. </t>
  </si>
  <si>
    <t>Neinvestiční transfery fundacím, ústavům a obecně prospěšným společnostem  Polovina nebe, o.p.s., Modrý klíč, o.p.s. (r. 2022 Tři, zdravotní ústav- příspěvek na provoz Hospice Dobrého Pastýře)               r. 2026 vedeno v par. 4344</t>
  </si>
  <si>
    <t>Dary obyvatelstvu-kulturní pěvecké vystoupení, podpora aktivit obyvatel</t>
  </si>
  <si>
    <t>Opravy a udržování - opravy radnice, ostatní běžné, výměna čerpacího zařízení kašny</t>
  </si>
  <si>
    <t>Stavby- hydroizolace, umístění vsakování dešťových vod ze střechy radnice</t>
  </si>
  <si>
    <t>Nákup ostatních služeb-servis auta aj.</t>
  </si>
  <si>
    <t xml:space="preserve">Platby daní státnímu rozpočtu-návrhy na vklad do katastru nemovitostí, event. soudní poplatky </t>
  </si>
  <si>
    <t>Poskytnuté náhrady- svědecká výpověď přestupky, překladatelské služby při projednávání přestupků, náhrada výdajů útulku pro zvířata..</t>
  </si>
  <si>
    <r>
      <t>2026 Celkem investice Silnice  rozpočet</t>
    </r>
    <r>
      <rPr>
        <b/>
        <sz val="12"/>
        <rFont val="Arial CE"/>
        <charset val="238"/>
      </rPr>
      <t xml:space="preserve"> 48 601,0 tis. </t>
    </r>
  </si>
  <si>
    <t>2026 Opravy a udržování celkem rozpočet 3 300,0 tis. Kč</t>
  </si>
  <si>
    <t>Neinvestiční příspěvky zřízeným příspěvkovým organizacím, nepedagogové</t>
  </si>
  <si>
    <t>Neinvestiční příspěvky zřízeným příspěvkovým organizacím: nepedagogové</t>
  </si>
  <si>
    <t>30.11.2025</t>
  </si>
  <si>
    <t>Dotace AOPK Studie systémů sídelní zeleně</t>
  </si>
  <si>
    <t>Návrh vyvěšen na úřední desku dne 5. 12. 2025</t>
  </si>
  <si>
    <t>Návrh zveřejněn na elektronické úřední desce www. praha-kunratice.cz dne 5. 12. 2025</t>
  </si>
  <si>
    <r>
      <t>2025 Celkem investice Silnice  rozpočet</t>
    </r>
    <r>
      <rPr>
        <b/>
        <sz val="12"/>
        <rFont val="Arial CE"/>
        <charset val="238"/>
      </rPr>
      <t xml:space="preserve"> 31 816,0 tis. </t>
    </r>
    <r>
      <rPr>
        <sz val="12"/>
        <rFont val="Arial CE"/>
        <charset val="238"/>
      </rPr>
      <t>(použity jsou i zdroje z příspěvku na investice do území), skutečnost 11/2025 1</t>
    </r>
    <r>
      <rPr>
        <b/>
        <sz val="12"/>
        <rFont val="Arial CE"/>
        <charset val="238"/>
      </rPr>
      <t>4 797 925,24 Kč</t>
    </r>
  </si>
  <si>
    <t>2025 Opravy a udržování celkem rozpočet 1 827,0 tis. Kč, skutečnost 1 285 136,42 Kč</t>
  </si>
  <si>
    <t>Konzultační, poradenské a právní služby - Studie systému sídelní zeleně vlastní zdroje</t>
  </si>
  <si>
    <t>Neinvestiční rezerva nepedagogové</t>
  </si>
  <si>
    <t>Neinvestiční rezerva obnova vybavení učeben a kabinetů</t>
  </si>
  <si>
    <r>
      <t xml:space="preserve">FINANCOVÁNÍ z úspor vlastních prostředků z předešlých let    </t>
    </r>
    <r>
      <rPr>
        <b/>
        <sz val="12"/>
        <color theme="1"/>
        <rFont val="Arial CE"/>
        <charset val="238"/>
      </rPr>
      <t xml:space="preserve">(+) schodek,    </t>
    </r>
    <r>
      <rPr>
        <b/>
        <sz val="12"/>
        <rFont val="Arial CE"/>
        <family val="2"/>
        <charset val="238"/>
      </rPr>
      <t xml:space="preserve">          </t>
    </r>
    <r>
      <rPr>
        <b/>
        <sz val="12"/>
        <rFont val="Arial CE"/>
        <charset val="238"/>
      </rPr>
      <t>(-) přebytek</t>
    </r>
  </si>
  <si>
    <t xml:space="preserve">                                                                                                                                                                                                                  Příloha 1</t>
  </si>
  <si>
    <t xml:space="preserve">                                                                                                                                                                                                     Příloha 1</t>
  </si>
  <si>
    <t>Nákup ostatních služeb - Studie výměny povrchu tréninkového hřiště</t>
  </si>
  <si>
    <t>Nákup ostatních služeb: Doprovodné úpravy značení na místních komunikacích, pořízení součástí dopravního příslušenství                                                                                2026 doplnění informačního systému ulic-značení názvů ulic 150,0 tis. Kč</t>
  </si>
  <si>
    <t>2026 Nákup ostatních služeb celkem rozpočet 2 600,0 tis. Kč</t>
  </si>
  <si>
    <r>
      <t xml:space="preserve">
Rozpočet MČ Praha Kunratice na rok 2026 zahrnuje vysoký podíl investičních výdajů zejména na výstavbu tělocvičny základní školy, komunikace a další objekty. Rozdíl mezi příjmy a výdaji je vyrovnán úsporami prostředků z hospodaření minulých let</t>
    </r>
    <r>
      <rPr>
        <sz val="11"/>
        <color rgb="FFFF0000"/>
        <rFont val="Arial CE"/>
        <charset val="238"/>
      </rPr>
      <t xml:space="preserve"> </t>
    </r>
    <r>
      <rPr>
        <sz val="11"/>
        <rFont val="Arial CE"/>
        <charset val="238"/>
      </rPr>
      <t xml:space="preserve">59 936,0 tis. Kč. Do rozpočtu je zapojeno 1 288,0 tis. Kč z fondu Domu s chráněnými byty, který je vytvářen z hospodářského výsledku hospodářské činnosti MČ pro potřebu úprav objektu a akcí pro nájemníky. MČ nemá uzavřenu žádnou úvěrovou smlouvu ani do budoucna o úvěru neuvažuje.     </t>
    </r>
  </si>
  <si>
    <t>Stavby-PD výstavby vodovodního řadu při ul. VídeňskáxK Zeleným domkům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</si>
</sst>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2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1"/>
      <name val="Arial CE"/>
      <charset val="238"/>
    </font>
    <font>
      <b/>
      <sz val="11"/>
      <name val="Arial CE"/>
      <family val="2"/>
      <charset val="238"/>
    </font>
    <font>
      <b/>
      <sz val="11"/>
      <name val="Arial CE"/>
      <charset val="238"/>
    </font>
    <font>
      <b/>
      <sz val="14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2"/>
      <name val="Arial CE"/>
      <family val="2"/>
      <charset val="238"/>
    </font>
    <font>
      <i/>
      <sz val="12"/>
      <name val="Arial CE"/>
      <charset val="238"/>
    </font>
    <font>
      <sz val="12"/>
      <color rgb="FFFF0000"/>
      <name val="Arial CE"/>
      <charset val="238"/>
    </font>
    <font>
      <sz val="11"/>
      <color rgb="FFFF0000"/>
      <name val="Arial CE"/>
      <charset val="238"/>
    </font>
    <font>
      <u/>
      <sz val="10"/>
      <color theme="10"/>
      <name val="Arial CE"/>
      <charset val="238"/>
    </font>
    <font>
      <sz val="12"/>
      <color rgb="FF0070C0"/>
      <name val="Arial CE"/>
      <charset val="238"/>
    </font>
    <font>
      <sz val="12"/>
      <color theme="8" tint="-0.249977111117893"/>
      <name val="Arial CE"/>
      <charset val="238"/>
    </font>
    <font>
      <sz val="12"/>
      <color theme="4" tint="-0.249977111117893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theme="1"/>
      <name val="Arial CE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8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8"/>
      </patternFill>
    </fill>
    <fill>
      <patternFill patternType="solid">
        <fgColor rgb="FFCCFFFF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rgb="FFC6E0B4"/>
        <bgColor rgb="FF000000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301">
    <xf numFmtId="0" fontId="0" fillId="0" borderId="0" xfId="0"/>
    <xf numFmtId="0" fontId="1" fillId="0" borderId="0" xfId="0" applyFont="1" applyAlignment="1">
      <alignment horizontal="center"/>
    </xf>
    <xf numFmtId="4" fontId="0" fillId="0" borderId="0" xfId="0" applyNumberFormat="1"/>
    <xf numFmtId="0" fontId="1" fillId="0" borderId="0" xfId="0" applyFont="1"/>
    <xf numFmtId="0" fontId="3" fillId="0" borderId="0" xfId="0" applyFont="1"/>
    <xf numFmtId="4" fontId="4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center" wrapText="1"/>
    </xf>
    <xf numFmtId="0" fontId="10" fillId="0" borderId="4" xfId="0" applyFont="1" applyBorder="1" applyAlignment="1">
      <alignment horizontal="center"/>
    </xf>
    <xf numFmtId="0" fontId="10" fillId="0" borderId="0" xfId="0" applyFont="1"/>
    <xf numFmtId="0" fontId="10" fillId="0" borderId="1" xfId="0" applyFont="1" applyBorder="1" applyAlignment="1">
      <alignment horizontal="center"/>
    </xf>
    <xf numFmtId="4" fontId="10" fillId="0" borderId="0" xfId="0" applyNumberFormat="1" applyFont="1"/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2" fillId="2" borderId="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0" fillId="4" borderId="11" xfId="0" applyFont="1" applyFill="1" applyBorder="1" applyAlignment="1">
      <alignment horizontal="center"/>
    </xf>
    <xf numFmtId="0" fontId="10" fillId="4" borderId="12" xfId="0" applyFont="1" applyFill="1" applyBorder="1" applyAlignment="1">
      <alignment horizontal="center"/>
    </xf>
    <xf numFmtId="0" fontId="2" fillId="0" borderId="0" xfId="0" applyFont="1" applyAlignment="1">
      <alignment wrapText="1"/>
    </xf>
    <xf numFmtId="4" fontId="9" fillId="0" borderId="0" xfId="0" applyNumberFormat="1" applyFont="1"/>
    <xf numFmtId="0" fontId="10" fillId="2" borderId="12" xfId="0" applyFont="1" applyFill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4" fontId="2" fillId="2" borderId="12" xfId="0" applyNumberFormat="1" applyFont="1" applyFill="1" applyBorder="1" applyAlignment="1">
      <alignment wrapText="1"/>
    </xf>
    <xf numFmtId="0" fontId="10" fillId="3" borderId="11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3" borderId="16" xfId="0" applyFont="1" applyFill="1" applyBorder="1" applyAlignment="1">
      <alignment wrapText="1"/>
    </xf>
    <xf numFmtId="4" fontId="10" fillId="0" borderId="0" xfId="0" applyNumberFormat="1" applyFont="1" applyAlignment="1">
      <alignment horizontal="center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4" fontId="12" fillId="0" borderId="0" xfId="0" applyNumberFormat="1" applyFont="1"/>
    <xf numFmtId="4" fontId="2" fillId="0" borderId="0" xfId="0" applyNumberFormat="1" applyFont="1" applyAlignment="1">
      <alignment wrapText="1"/>
    </xf>
    <xf numFmtId="0" fontId="10" fillId="0" borderId="13" xfId="0" applyFont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2" xfId="0" applyFont="1" applyBorder="1" applyAlignment="1">
      <alignment wrapText="1"/>
    </xf>
    <xf numFmtId="0" fontId="10" fillId="0" borderId="5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1" fillId="0" borderId="21" xfId="0" applyFont="1" applyBorder="1" applyAlignment="1">
      <alignment wrapText="1"/>
    </xf>
    <xf numFmtId="0" fontId="10" fillId="0" borderId="24" xfId="0" applyFont="1" applyBorder="1" applyAlignment="1">
      <alignment wrapText="1"/>
    </xf>
    <xf numFmtId="0" fontId="9" fillId="0" borderId="24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10" fillId="0" borderId="23" xfId="0" applyFont="1" applyBorder="1" applyAlignment="1">
      <alignment wrapText="1"/>
    </xf>
    <xf numFmtId="0" fontId="9" fillId="0" borderId="23" xfId="0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0" fontId="11" fillId="0" borderId="23" xfId="0" applyFont="1" applyBorder="1" applyAlignment="1">
      <alignment wrapText="1"/>
    </xf>
    <xf numFmtId="0" fontId="10" fillId="0" borderId="21" xfId="0" applyFont="1" applyBorder="1" applyAlignment="1">
      <alignment wrapText="1"/>
    </xf>
    <xf numFmtId="164" fontId="2" fillId="0" borderId="1" xfId="0" applyNumberFormat="1" applyFont="1" applyBorder="1"/>
    <xf numFmtId="0" fontId="9" fillId="8" borderId="0" xfId="0" applyFont="1" applyFill="1" applyAlignment="1">
      <alignment wrapText="1"/>
    </xf>
    <xf numFmtId="0" fontId="9" fillId="0" borderId="13" xfId="0" applyFont="1" applyBorder="1" applyAlignment="1">
      <alignment wrapText="1"/>
    </xf>
    <xf numFmtId="164" fontId="10" fillId="0" borderId="1" xfId="0" applyNumberFormat="1" applyFont="1" applyBorder="1"/>
    <xf numFmtId="164" fontId="9" fillId="0" borderId="1" xfId="0" applyNumberFormat="1" applyFont="1" applyBorder="1"/>
    <xf numFmtId="4" fontId="10" fillId="0" borderId="12" xfId="0" applyNumberFormat="1" applyFont="1" applyBorder="1" applyAlignment="1">
      <alignment wrapText="1"/>
    </xf>
    <xf numFmtId="4" fontId="2" fillId="2" borderId="14" xfId="0" applyNumberFormat="1" applyFont="1" applyFill="1" applyBorder="1" applyAlignment="1">
      <alignment wrapText="1"/>
    </xf>
    <xf numFmtId="0" fontId="2" fillId="3" borderId="14" xfId="0" applyFont="1" applyFill="1" applyBorder="1" applyAlignment="1">
      <alignment wrapText="1"/>
    </xf>
    <xf numFmtId="0" fontId="10" fillId="9" borderId="24" xfId="0" applyFont="1" applyFill="1" applyBorder="1" applyAlignment="1">
      <alignment wrapText="1"/>
    </xf>
    <xf numFmtId="0" fontId="10" fillId="0" borderId="16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" fillId="0" borderId="13" xfId="0" applyFont="1" applyBorder="1" applyAlignment="1">
      <alignment wrapText="1"/>
    </xf>
    <xf numFmtId="4" fontId="2" fillId="0" borderId="13" xfId="0" applyNumberFormat="1" applyFont="1" applyBorder="1"/>
    <xf numFmtId="0" fontId="2" fillId="5" borderId="16" xfId="0" applyFont="1" applyFill="1" applyBorder="1" applyAlignment="1">
      <alignment wrapText="1"/>
    </xf>
    <xf numFmtId="164" fontId="10" fillId="0" borderId="0" xfId="0" applyNumberFormat="1" applyFont="1"/>
    <xf numFmtId="164" fontId="10" fillId="0" borderId="0" xfId="0" applyNumberFormat="1" applyFont="1" applyAlignment="1">
      <alignment horizontal="center" wrapText="1"/>
    </xf>
    <xf numFmtId="164" fontId="2" fillId="2" borderId="12" xfId="0" applyNumberFormat="1" applyFont="1" applyFill="1" applyBorder="1"/>
    <xf numFmtId="164" fontId="10" fillId="0" borderId="0" xfId="0" applyNumberFormat="1" applyFont="1" applyAlignment="1">
      <alignment wrapText="1"/>
    </xf>
    <xf numFmtId="164" fontId="14" fillId="0" borderId="0" xfId="0" applyNumberFormat="1" applyFont="1" applyAlignment="1">
      <alignment horizontal="left" vertical="top" wrapText="1"/>
    </xf>
    <xf numFmtId="0" fontId="9" fillId="0" borderId="22" xfId="0" applyFont="1" applyBorder="1" applyAlignment="1">
      <alignment wrapText="1"/>
    </xf>
    <xf numFmtId="164" fontId="2" fillId="3" borderId="12" xfId="0" applyNumberFormat="1" applyFont="1" applyFill="1" applyBorder="1"/>
    <xf numFmtId="164" fontId="2" fillId="0" borderId="13" xfId="0" applyNumberFormat="1" applyFont="1" applyBorder="1"/>
    <xf numFmtId="164" fontId="12" fillId="0" borderId="0" xfId="0" applyNumberFormat="1" applyFont="1" applyAlignment="1">
      <alignment wrapText="1"/>
    </xf>
    <xf numFmtId="164" fontId="0" fillId="0" borderId="0" xfId="0" applyNumberFormat="1"/>
    <xf numFmtId="0" fontId="13" fillId="0" borderId="0" xfId="0" applyFont="1" applyAlignment="1">
      <alignment horizontal="center"/>
    </xf>
    <xf numFmtId="0" fontId="10" fillId="9" borderId="22" xfId="0" applyFont="1" applyFill="1" applyBorder="1" applyAlignment="1">
      <alignment wrapText="1"/>
    </xf>
    <xf numFmtId="0" fontId="10" fillId="9" borderId="22" xfId="0" applyFont="1" applyFill="1" applyBorder="1" applyAlignment="1">
      <alignment horizontal="left" wrapText="1"/>
    </xf>
    <xf numFmtId="0" fontId="11" fillId="0" borderId="22" xfId="0" applyFont="1" applyBorder="1" applyAlignment="1">
      <alignment wrapText="1"/>
    </xf>
    <xf numFmtId="164" fontId="10" fillId="0" borderId="17" xfId="0" applyNumberFormat="1" applyFont="1" applyBorder="1"/>
    <xf numFmtId="164" fontId="10" fillId="8" borderId="0" xfId="0" applyNumberFormat="1" applyFont="1" applyFill="1"/>
    <xf numFmtId="164" fontId="10" fillId="0" borderId="13" xfId="0" applyNumberFormat="1" applyFont="1" applyBorder="1"/>
    <xf numFmtId="0" fontId="2" fillId="2" borderId="8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2" fillId="6" borderId="3" xfId="0" applyNumberFormat="1" applyFont="1" applyFill="1" applyBorder="1" applyAlignment="1">
      <alignment horizontal="center"/>
    </xf>
    <xf numFmtId="0" fontId="10" fillId="2" borderId="31" xfId="0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2" fillId="4" borderId="14" xfId="0" applyFont="1" applyFill="1" applyBorder="1" applyAlignment="1">
      <alignment wrapText="1"/>
    </xf>
    <xf numFmtId="4" fontId="10" fillId="0" borderId="14" xfId="0" applyNumberFormat="1" applyFont="1" applyBorder="1" applyAlignment="1">
      <alignment wrapText="1"/>
    </xf>
    <xf numFmtId="164" fontId="10" fillId="9" borderId="1" xfId="0" applyNumberFormat="1" applyFont="1" applyFill="1" applyBorder="1"/>
    <xf numFmtId="0" fontId="10" fillId="0" borderId="13" xfId="0" applyFont="1" applyBorder="1" applyAlignment="1">
      <alignment wrapText="1"/>
    </xf>
    <xf numFmtId="0" fontId="16" fillId="0" borderId="5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6" fillId="0" borderId="22" xfId="0" applyFont="1" applyBorder="1" applyAlignment="1">
      <alignment wrapText="1"/>
    </xf>
    <xf numFmtId="4" fontId="14" fillId="0" borderId="0" xfId="0" applyNumberFormat="1" applyFont="1" applyAlignment="1">
      <alignment horizontal="left" vertical="top" wrapText="1"/>
    </xf>
    <xf numFmtId="4" fontId="2" fillId="6" borderId="35" xfId="0" applyNumberFormat="1" applyFont="1" applyFill="1" applyBorder="1" applyAlignment="1">
      <alignment horizontal="center"/>
    </xf>
    <xf numFmtId="164" fontId="10" fillId="0" borderId="19" xfId="0" applyNumberFormat="1" applyFont="1" applyBorder="1"/>
    <xf numFmtId="0" fontId="10" fillId="0" borderId="5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0" fontId="11" fillId="0" borderId="23" xfId="0" applyFont="1" applyBorder="1" applyAlignment="1">
      <alignment horizontal="left" wrapText="1"/>
    </xf>
    <xf numFmtId="0" fontId="10" fillId="0" borderId="33" xfId="0" applyFont="1" applyBorder="1" applyAlignment="1">
      <alignment horizontal="center"/>
    </xf>
    <xf numFmtId="0" fontId="2" fillId="0" borderId="24" xfId="0" applyFont="1" applyBorder="1" applyAlignment="1">
      <alignment horizontal="left" wrapText="1"/>
    </xf>
    <xf numFmtId="0" fontId="10" fillId="2" borderId="10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164" fontId="10" fillId="0" borderId="21" xfId="0" applyNumberFormat="1" applyFont="1" applyBorder="1"/>
    <xf numFmtId="164" fontId="10" fillId="0" borderId="22" xfId="0" applyNumberFormat="1" applyFont="1" applyBorder="1"/>
    <xf numFmtId="164" fontId="10" fillId="0" borderId="29" xfId="0" applyNumberFormat="1" applyFont="1" applyBorder="1"/>
    <xf numFmtId="0" fontId="17" fillId="0" borderId="23" xfId="0" applyFont="1" applyBorder="1" applyAlignment="1">
      <alignment horizontal="center"/>
    </xf>
    <xf numFmtId="0" fontId="10" fillId="9" borderId="39" xfId="0" applyFont="1" applyFill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2" fillId="0" borderId="27" xfId="0" applyFont="1" applyBorder="1" applyAlignment="1">
      <alignment wrapText="1"/>
    </xf>
    <xf numFmtId="0" fontId="2" fillId="2" borderId="7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49" fontId="2" fillId="6" borderId="34" xfId="0" applyNumberFormat="1" applyFont="1" applyFill="1" applyBorder="1" applyAlignment="1">
      <alignment horizontal="center"/>
    </xf>
    <xf numFmtId="4" fontId="10" fillId="0" borderId="23" xfId="0" applyNumberFormat="1" applyFont="1" applyBorder="1"/>
    <xf numFmtId="4" fontId="2" fillId="0" borderId="23" xfId="0" applyNumberFormat="1" applyFont="1" applyBorder="1"/>
    <xf numFmtId="4" fontId="5" fillId="0" borderId="23" xfId="0" applyNumberFormat="1" applyFont="1" applyBorder="1"/>
    <xf numFmtId="0" fontId="17" fillId="0" borderId="23" xfId="0" applyFont="1" applyBorder="1"/>
    <xf numFmtId="4" fontId="9" fillId="0" borderId="23" xfId="0" applyNumberFormat="1" applyFont="1" applyBorder="1"/>
    <xf numFmtId="4" fontId="10" fillId="9" borderId="23" xfId="0" applyNumberFormat="1" applyFont="1" applyFill="1" applyBorder="1"/>
    <xf numFmtId="0" fontId="2" fillId="0" borderId="23" xfId="0" applyFont="1" applyBorder="1"/>
    <xf numFmtId="164" fontId="2" fillId="4" borderId="12" xfId="0" applyNumberFormat="1" applyFont="1" applyFill="1" applyBorder="1"/>
    <xf numFmtId="4" fontId="2" fillId="4" borderId="14" xfId="0" applyNumberFormat="1" applyFont="1" applyFill="1" applyBorder="1"/>
    <xf numFmtId="0" fontId="2" fillId="2" borderId="35" xfId="0" applyFont="1" applyFill="1" applyBorder="1" applyAlignment="1">
      <alignment horizontal="center" wrapText="1"/>
    </xf>
    <xf numFmtId="0" fontId="2" fillId="2" borderId="34" xfId="0" applyFont="1" applyFill="1" applyBorder="1" applyAlignment="1">
      <alignment horizontal="center" wrapText="1"/>
    </xf>
    <xf numFmtId="164" fontId="9" fillId="6" borderId="3" xfId="0" applyNumberFormat="1" applyFont="1" applyFill="1" applyBorder="1" applyAlignment="1">
      <alignment horizontal="center"/>
    </xf>
    <xf numFmtId="0" fontId="10" fillId="0" borderId="35" xfId="0" applyFont="1" applyBorder="1" applyAlignment="1">
      <alignment wrapText="1"/>
    </xf>
    <xf numFmtId="0" fontId="9" fillId="0" borderId="34" xfId="0" applyFont="1" applyBorder="1" applyAlignment="1">
      <alignment wrapText="1"/>
    </xf>
    <xf numFmtId="0" fontId="2" fillId="2" borderId="14" xfId="0" applyFont="1" applyFill="1" applyBorder="1" applyAlignment="1">
      <alignment wrapText="1"/>
    </xf>
    <xf numFmtId="0" fontId="2" fillId="2" borderId="13" xfId="0" applyFont="1" applyFill="1" applyBorder="1" applyAlignment="1">
      <alignment wrapText="1"/>
    </xf>
    <xf numFmtId="164" fontId="2" fillId="6" borderId="10" xfId="0" applyNumberFormat="1" applyFont="1" applyFill="1" applyBorder="1" applyAlignment="1">
      <alignment horizontal="center"/>
    </xf>
    <xf numFmtId="164" fontId="9" fillId="6" borderId="10" xfId="0" applyNumberFormat="1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 wrapText="1"/>
    </xf>
    <xf numFmtId="4" fontId="6" fillId="0" borderId="24" xfId="0" applyNumberFormat="1" applyFont="1" applyBorder="1" applyAlignment="1">
      <alignment horizontal="center"/>
    </xf>
    <xf numFmtId="4" fontId="2" fillId="0" borderId="36" xfId="0" applyNumberFormat="1" applyFont="1" applyBorder="1"/>
    <xf numFmtId="0" fontId="10" fillId="0" borderId="38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2" fillId="0" borderId="36" xfId="0" applyFont="1" applyBorder="1"/>
    <xf numFmtId="164" fontId="10" fillId="0" borderId="18" xfId="0" applyNumberFormat="1" applyFont="1" applyBorder="1"/>
    <xf numFmtId="0" fontId="11" fillId="2" borderId="12" xfId="0" applyFont="1" applyFill="1" applyBorder="1" applyAlignment="1">
      <alignment horizontal="center"/>
    </xf>
    <xf numFmtId="49" fontId="10" fillId="9" borderId="1" xfId="0" applyNumberFormat="1" applyFont="1" applyFill="1" applyBorder="1" applyAlignment="1">
      <alignment horizontal="center"/>
    </xf>
    <xf numFmtId="4" fontId="2" fillId="3" borderId="15" xfId="0" applyNumberFormat="1" applyFont="1" applyFill="1" applyBorder="1"/>
    <xf numFmtId="0" fontId="9" fillId="10" borderId="22" xfId="0" applyFont="1" applyFill="1" applyBorder="1" applyAlignment="1">
      <alignment wrapText="1"/>
    </xf>
    <xf numFmtId="0" fontId="14" fillId="0" borderId="0" xfId="0" applyFont="1" applyAlignment="1">
      <alignment horizontal="left" vertical="top" wrapText="1"/>
    </xf>
    <xf numFmtId="4" fontId="0" fillId="0" borderId="0" xfId="0" applyNumberFormat="1" applyFont="1"/>
    <xf numFmtId="0" fontId="0" fillId="0" borderId="0" xfId="0" applyFont="1"/>
    <xf numFmtId="164" fontId="10" fillId="0" borderId="19" xfId="0" applyNumberFormat="1" applyFont="1" applyFill="1" applyBorder="1"/>
    <xf numFmtId="164" fontId="10" fillId="0" borderId="0" xfId="0" applyNumberFormat="1" applyFont="1" applyFill="1" applyBorder="1"/>
    <xf numFmtId="164" fontId="9" fillId="0" borderId="0" xfId="0" applyNumberFormat="1" applyFont="1" applyFill="1" applyBorder="1"/>
    <xf numFmtId="164" fontId="2" fillId="0" borderId="0" xfId="0" applyNumberFormat="1" applyFont="1" applyFill="1" applyBorder="1"/>
    <xf numFmtId="164" fontId="2" fillId="6" borderId="28" xfId="0" applyNumberFormat="1" applyFont="1" applyFill="1" applyBorder="1" applyAlignment="1">
      <alignment horizontal="center"/>
    </xf>
    <xf numFmtId="0" fontId="0" fillId="0" borderId="0" xfId="0"/>
    <xf numFmtId="0" fontId="0" fillId="0" borderId="0" xfId="0" applyFill="1"/>
    <xf numFmtId="4" fontId="2" fillId="3" borderId="14" xfId="0" applyNumberFormat="1" applyFont="1" applyFill="1" applyBorder="1"/>
    <xf numFmtId="0" fontId="10" fillId="0" borderId="5" xfId="0" applyFont="1" applyFill="1" applyBorder="1" applyAlignment="1">
      <alignment horizontal="center"/>
    </xf>
    <xf numFmtId="0" fontId="10" fillId="0" borderId="25" xfId="0" applyFont="1" applyFill="1" applyBorder="1" applyAlignment="1">
      <alignment horizontal="center"/>
    </xf>
    <xf numFmtId="0" fontId="10" fillId="0" borderId="22" xfId="0" applyFont="1" applyFill="1" applyBorder="1" applyAlignment="1">
      <alignment wrapText="1"/>
    </xf>
    <xf numFmtId="164" fontId="10" fillId="0" borderId="1" xfId="0" applyNumberFormat="1" applyFont="1" applyFill="1" applyBorder="1"/>
    <xf numFmtId="0" fontId="10" fillId="9" borderId="24" xfId="0" applyFont="1" applyFill="1" applyBorder="1" applyAlignment="1"/>
    <xf numFmtId="164" fontId="9" fillId="0" borderId="25" xfId="0" applyNumberFormat="1" applyFont="1" applyBorder="1" applyAlignment="1">
      <alignment horizontal="center"/>
    </xf>
    <xf numFmtId="164" fontId="10" fillId="0" borderId="20" xfId="0" applyNumberFormat="1" applyFont="1" applyBorder="1"/>
    <xf numFmtId="164" fontId="9" fillId="0" borderId="20" xfId="0" applyNumberFormat="1" applyFont="1" applyBorder="1"/>
    <xf numFmtId="164" fontId="10" fillId="0" borderId="40" xfId="0" applyNumberFormat="1" applyFont="1" applyBorder="1"/>
    <xf numFmtId="164" fontId="2" fillId="2" borderId="41" xfId="0" applyNumberFormat="1" applyFont="1" applyFill="1" applyBorder="1"/>
    <xf numFmtId="164" fontId="9" fillId="4" borderId="41" xfId="0" applyNumberFormat="1" applyFont="1" applyFill="1" applyBorder="1"/>
    <xf numFmtId="164" fontId="6" fillId="0" borderId="3" xfId="0" applyNumberFormat="1" applyFont="1" applyBorder="1" applyAlignment="1">
      <alignment horizontal="center"/>
    </xf>
    <xf numFmtId="164" fontId="9" fillId="6" borderId="37" xfId="0" applyNumberFormat="1" applyFont="1" applyFill="1" applyBorder="1" applyAlignment="1">
      <alignment horizontal="center"/>
    </xf>
    <xf numFmtId="164" fontId="2" fillId="2" borderId="44" xfId="0" applyNumberFormat="1" applyFont="1" applyFill="1" applyBorder="1"/>
    <xf numFmtId="164" fontId="10" fillId="0" borderId="33" xfId="0" applyNumberFormat="1" applyFont="1" applyBorder="1"/>
    <xf numFmtId="164" fontId="10" fillId="0" borderId="25" xfId="0" applyNumberFormat="1" applyFont="1" applyBorder="1"/>
    <xf numFmtId="4" fontId="10" fillId="0" borderId="24" xfId="0" applyNumberFormat="1" applyFont="1" applyBorder="1"/>
    <xf numFmtId="4" fontId="2" fillId="0" borderId="19" xfId="0" applyNumberFormat="1" applyFont="1" applyBorder="1"/>
    <xf numFmtId="4" fontId="6" fillId="0" borderId="17" xfId="0" applyNumberFormat="1" applyFont="1" applyBorder="1"/>
    <xf numFmtId="164" fontId="9" fillId="0" borderId="18" xfId="0" applyNumberFormat="1" applyFont="1" applyBorder="1"/>
    <xf numFmtId="164" fontId="9" fillId="0" borderId="40" xfId="0" applyNumberFormat="1" applyFont="1" applyBorder="1"/>
    <xf numFmtId="4" fontId="9" fillId="0" borderId="36" xfId="0" applyNumberFormat="1" applyFont="1" applyBorder="1"/>
    <xf numFmtId="4" fontId="5" fillId="0" borderId="13" xfId="0" applyNumberFormat="1" applyFont="1" applyBorder="1"/>
    <xf numFmtId="0" fontId="2" fillId="0" borderId="8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left" wrapText="1"/>
    </xf>
    <xf numFmtId="164" fontId="2" fillId="0" borderId="3" xfId="0" applyNumberFormat="1" applyFont="1" applyFill="1" applyBorder="1" applyAlignment="1">
      <alignment horizontal="center"/>
    </xf>
    <xf numFmtId="2" fontId="10" fillId="0" borderId="0" xfId="0" applyNumberFormat="1" applyFont="1"/>
    <xf numFmtId="2" fontId="2" fillId="6" borderId="28" xfId="0" applyNumberFormat="1" applyFont="1" applyFill="1" applyBorder="1" applyAlignment="1">
      <alignment horizontal="center"/>
    </xf>
    <xf numFmtId="2" fontId="9" fillId="6" borderId="37" xfId="0" applyNumberFormat="1" applyFont="1" applyFill="1" applyBorder="1" applyAlignment="1">
      <alignment horizontal="center"/>
    </xf>
    <xf numFmtId="0" fontId="9" fillId="0" borderId="24" xfId="0" applyFont="1" applyFill="1" applyBorder="1" applyAlignment="1">
      <alignment wrapText="1"/>
    </xf>
    <xf numFmtId="4" fontId="0" fillId="0" borderId="0" xfId="0" applyNumberFormat="1" applyFill="1"/>
    <xf numFmtId="164" fontId="10" fillId="0" borderId="32" xfId="0" applyNumberFormat="1" applyFont="1" applyBorder="1" applyAlignment="1">
      <alignment wrapText="1"/>
    </xf>
    <xf numFmtId="4" fontId="2" fillId="2" borderId="12" xfId="0" applyNumberFormat="1" applyFont="1" applyFill="1" applyBorder="1"/>
    <xf numFmtId="0" fontId="9" fillId="7" borderId="24" xfId="0" applyFont="1" applyFill="1" applyBorder="1" applyAlignment="1">
      <alignment horizontal="left"/>
    </xf>
    <xf numFmtId="4" fontId="16" fillId="0" borderId="1" xfId="0" applyNumberFormat="1" applyFont="1" applyBorder="1"/>
    <xf numFmtId="164" fontId="16" fillId="0" borderId="1" xfId="0" applyNumberFormat="1" applyFont="1" applyBorder="1"/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wrapText="1"/>
    </xf>
    <xf numFmtId="164" fontId="5" fillId="0" borderId="1" xfId="0" applyNumberFormat="1" applyFont="1" applyBorder="1" applyAlignment="1">
      <alignment horizontal="right"/>
    </xf>
    <xf numFmtId="164" fontId="5" fillId="0" borderId="20" xfId="0" applyNumberFormat="1" applyFont="1" applyBorder="1" applyAlignment="1">
      <alignment horizontal="right"/>
    </xf>
    <xf numFmtId="4" fontId="10" fillId="0" borderId="23" xfId="0" applyNumberFormat="1" applyFont="1" applyBorder="1" applyAlignment="1">
      <alignment horizontal="right"/>
    </xf>
    <xf numFmtId="4" fontId="10" fillId="8" borderId="0" xfId="0" applyNumberFormat="1" applyFont="1" applyFill="1"/>
    <xf numFmtId="4" fontId="2" fillId="2" borderId="14" xfId="0" applyNumberFormat="1" applyFont="1" applyFill="1" applyBorder="1"/>
    <xf numFmtId="4" fontId="2" fillId="2" borderId="19" xfId="0" applyNumberFormat="1" applyFont="1" applyFill="1" applyBorder="1"/>
    <xf numFmtId="164" fontId="10" fillId="0" borderId="23" xfId="0" applyNumberFormat="1" applyFont="1" applyBorder="1"/>
    <xf numFmtId="164" fontId="2" fillId="6" borderId="8" xfId="0" applyNumberFormat="1" applyFont="1" applyFill="1" applyBorder="1" applyAlignment="1">
      <alignment horizontal="center"/>
    </xf>
    <xf numFmtId="164" fontId="9" fillId="6" borderId="31" xfId="0" applyNumberFormat="1" applyFont="1" applyFill="1" applyBorder="1" applyAlignment="1">
      <alignment horizontal="center"/>
    </xf>
    <xf numFmtId="4" fontId="2" fillId="3" borderId="16" xfId="0" applyNumberFormat="1" applyFont="1" applyFill="1" applyBorder="1"/>
    <xf numFmtId="4" fontId="2" fillId="2" borderId="16" xfId="0" applyNumberFormat="1" applyFont="1" applyFill="1" applyBorder="1"/>
    <xf numFmtId="4" fontId="10" fillId="0" borderId="27" xfId="0" applyNumberFormat="1" applyFont="1" applyBorder="1" applyAlignment="1">
      <alignment wrapText="1"/>
    </xf>
    <xf numFmtId="49" fontId="2" fillId="0" borderId="35" xfId="0" applyNumberFormat="1" applyFont="1" applyFill="1" applyBorder="1" applyAlignment="1">
      <alignment horizontal="center"/>
    </xf>
    <xf numFmtId="4" fontId="10" fillId="0" borderId="23" xfId="0" applyNumberFormat="1" applyFont="1" applyFill="1" applyBorder="1"/>
    <xf numFmtId="4" fontId="13" fillId="0" borderId="23" xfId="0" applyNumberFormat="1" applyFont="1" applyBorder="1"/>
    <xf numFmtId="4" fontId="10" fillId="9" borderId="23" xfId="0" applyNumberFormat="1" applyFont="1" applyFill="1" applyBorder="1" applyAlignment="1">
      <alignment wrapText="1"/>
    </xf>
    <xf numFmtId="4" fontId="16" fillId="0" borderId="23" xfId="0" applyNumberFormat="1" applyFont="1" applyBorder="1"/>
    <xf numFmtId="4" fontId="10" fillId="0" borderId="23" xfId="0" applyNumberFormat="1" applyFont="1" applyBorder="1" applyAlignment="1">
      <alignment wrapText="1"/>
    </xf>
    <xf numFmtId="4" fontId="2" fillId="6" borderId="28" xfId="0" applyNumberFormat="1" applyFont="1" applyFill="1" applyBorder="1" applyAlignment="1">
      <alignment horizontal="center"/>
    </xf>
    <xf numFmtId="4" fontId="9" fillId="6" borderId="37" xfId="0" applyNumberFormat="1" applyFont="1" applyFill="1" applyBorder="1" applyAlignment="1">
      <alignment horizontal="center"/>
    </xf>
    <xf numFmtId="4" fontId="9" fillId="0" borderId="8" xfId="0" applyNumberFormat="1" applyFont="1" applyFill="1" applyBorder="1" applyAlignment="1">
      <alignment horizontal="center"/>
    </xf>
    <xf numFmtId="4" fontId="9" fillId="0" borderId="28" xfId="0" applyNumberFormat="1" applyFont="1" applyFill="1" applyBorder="1" applyAlignment="1">
      <alignment horizontal="center"/>
    </xf>
    <xf numFmtId="164" fontId="10" fillId="9" borderId="4" xfId="0" applyNumberFormat="1" applyFont="1" applyFill="1" applyBorder="1"/>
    <xf numFmtId="164" fontId="10" fillId="0" borderId="4" xfId="0" applyNumberFormat="1" applyFont="1" applyBorder="1"/>
    <xf numFmtId="164" fontId="10" fillId="0" borderId="4" xfId="0" applyNumberFormat="1" applyFont="1" applyFill="1" applyBorder="1"/>
    <xf numFmtId="164" fontId="9" fillId="0" borderId="4" xfId="0" applyNumberFormat="1" applyFont="1" applyBorder="1"/>
    <xf numFmtId="164" fontId="2" fillId="2" borderId="16" xfId="0" applyNumberFormat="1" applyFont="1" applyFill="1" applyBorder="1"/>
    <xf numFmtId="164" fontId="10" fillId="0" borderId="16" xfId="0" applyNumberFormat="1" applyFont="1" applyBorder="1"/>
    <xf numFmtId="164" fontId="2" fillId="3" borderId="16" xfId="0" applyNumberFormat="1" applyFont="1" applyFill="1" applyBorder="1"/>
    <xf numFmtId="164" fontId="10" fillId="0" borderId="9" xfId="0" applyNumberFormat="1" applyFont="1" applyBorder="1"/>
    <xf numFmtId="164" fontId="10" fillId="0" borderId="9" xfId="0" applyNumberFormat="1" applyFont="1" applyFill="1" applyBorder="1"/>
    <xf numFmtId="164" fontId="9" fillId="0" borderId="9" xfId="0" applyNumberFormat="1" applyFont="1" applyBorder="1"/>
    <xf numFmtId="164" fontId="2" fillId="2" borderId="15" xfId="0" applyNumberFormat="1" applyFont="1" applyFill="1" applyBorder="1"/>
    <xf numFmtId="164" fontId="10" fillId="0" borderId="15" xfId="0" applyNumberFormat="1" applyFont="1" applyBorder="1"/>
    <xf numFmtId="164" fontId="2" fillId="3" borderId="15" xfId="0" applyNumberFormat="1" applyFont="1" applyFill="1" applyBorder="1"/>
    <xf numFmtId="0" fontId="9" fillId="9" borderId="22" xfId="0" applyFont="1" applyFill="1" applyBorder="1" applyAlignment="1">
      <alignment wrapText="1"/>
    </xf>
    <xf numFmtId="0" fontId="0" fillId="0" borderId="0" xfId="0" applyAlignment="1"/>
    <xf numFmtId="164" fontId="10" fillId="0" borderId="49" xfId="0" applyNumberFormat="1" applyFont="1" applyFill="1" applyBorder="1"/>
    <xf numFmtId="164" fontId="10" fillId="0" borderId="1" xfId="0" applyNumberFormat="1" applyFont="1" applyBorder="1" applyAlignment="1"/>
    <xf numFmtId="4" fontId="10" fillId="0" borderId="23" xfId="0" applyNumberFormat="1" applyFont="1" applyBorder="1" applyAlignment="1"/>
    <xf numFmtId="164" fontId="10" fillId="0" borderId="4" xfId="0" applyNumberFormat="1" applyFont="1" applyBorder="1" applyAlignment="1"/>
    <xf numFmtId="164" fontId="10" fillId="0" borderId="9" xfId="0" applyNumberFormat="1" applyFont="1" applyBorder="1" applyAlignment="1"/>
    <xf numFmtId="0" fontId="10" fillId="0" borderId="24" xfId="0" applyFont="1" applyFill="1" applyBorder="1" applyAlignment="1">
      <alignment wrapText="1"/>
    </xf>
    <xf numFmtId="0" fontId="0" fillId="0" borderId="0" xfId="0" applyFont="1" applyBorder="1"/>
    <xf numFmtId="0" fontId="0" fillId="0" borderId="0" xfId="0" applyBorder="1"/>
    <xf numFmtId="0" fontId="0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Font="1" applyFill="1" applyBorder="1"/>
    <xf numFmtId="0" fontId="0" fillId="0" borderId="0" xfId="0" applyFill="1" applyBorder="1"/>
    <xf numFmtId="164" fontId="0" fillId="0" borderId="0" xfId="0" applyNumberFormat="1" applyFont="1" applyBorder="1"/>
    <xf numFmtId="4" fontId="0" fillId="0" borderId="0" xfId="0" applyNumberFormat="1" applyFont="1" applyBorder="1"/>
    <xf numFmtId="4" fontId="0" fillId="0" borderId="0" xfId="0" applyNumberFormat="1" applyBorder="1"/>
    <xf numFmtId="4" fontId="0" fillId="0" borderId="0" xfId="0" applyNumberFormat="1" applyFont="1" applyFill="1" applyBorder="1"/>
    <xf numFmtId="4" fontId="0" fillId="0" borderId="0" xfId="0" applyNumberFormat="1" applyFill="1" applyBorder="1"/>
    <xf numFmtId="0" fontId="10" fillId="0" borderId="0" xfId="0" applyFont="1" applyBorder="1"/>
    <xf numFmtId="164" fontId="10" fillId="0" borderId="0" xfId="0" applyNumberFormat="1" applyFont="1" applyBorder="1"/>
    <xf numFmtId="0" fontId="4" fillId="0" borderId="0" xfId="0" applyFont="1" applyBorder="1"/>
    <xf numFmtId="0" fontId="1" fillId="0" borderId="0" xfId="0" applyFont="1" applyBorder="1"/>
    <xf numFmtId="0" fontId="3" fillId="0" borderId="0" xfId="0" applyFont="1" applyBorder="1"/>
    <xf numFmtId="0" fontId="0" fillId="0" borderId="0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Font="1" applyBorder="1" applyAlignment="1"/>
    <xf numFmtId="0" fontId="0" fillId="0" borderId="0" xfId="0" applyBorder="1" applyAlignment="1"/>
    <xf numFmtId="4" fontId="4" fillId="0" borderId="0" xfId="0" applyNumberFormat="1" applyFont="1" applyBorder="1"/>
    <xf numFmtId="0" fontId="10" fillId="0" borderId="19" xfId="0" applyFont="1" applyFill="1" applyBorder="1" applyAlignment="1">
      <alignment horizontal="center"/>
    </xf>
    <xf numFmtId="0" fontId="2" fillId="0" borderId="19" xfId="0" applyFont="1" applyFill="1" applyBorder="1" applyAlignment="1">
      <alignment wrapText="1"/>
    </xf>
    <xf numFmtId="164" fontId="2" fillId="0" borderId="19" xfId="0" applyNumberFormat="1" applyFont="1" applyFill="1" applyBorder="1"/>
    <xf numFmtId="4" fontId="2" fillId="0" borderId="19" xfId="0" applyNumberFormat="1" applyFont="1" applyFill="1" applyBorder="1"/>
    <xf numFmtId="0" fontId="10" fillId="0" borderId="0" xfId="0" applyFont="1" applyBorder="1" applyAlignment="1">
      <alignment horizontal="center"/>
    </xf>
    <xf numFmtId="0" fontId="2" fillId="0" borderId="0" xfId="0" applyFont="1" applyBorder="1" applyAlignment="1">
      <alignment wrapText="1"/>
    </xf>
    <xf numFmtId="4" fontId="9" fillId="0" borderId="0" xfId="0" applyNumberFormat="1" applyFont="1" applyBorder="1"/>
    <xf numFmtId="164" fontId="0" fillId="0" borderId="8" xfId="0" applyNumberFormat="1" applyBorder="1"/>
    <xf numFmtId="164" fontId="2" fillId="2" borderId="46" xfId="0" applyNumberFormat="1" applyFont="1" applyFill="1" applyBorder="1"/>
    <xf numFmtId="164" fontId="10" fillId="0" borderId="39" xfId="0" applyNumberFormat="1" applyFont="1" applyBorder="1"/>
    <xf numFmtId="164" fontId="10" fillId="0" borderId="47" xfId="0" applyNumberFormat="1" applyFont="1" applyBorder="1"/>
    <xf numFmtId="164" fontId="9" fillId="0" borderId="48" xfId="0" applyNumberFormat="1" applyFont="1" applyBorder="1"/>
    <xf numFmtId="164" fontId="2" fillId="2" borderId="11" xfId="0" applyNumberFormat="1" applyFont="1" applyFill="1" applyBorder="1"/>
    <xf numFmtId="164" fontId="9" fillId="4" borderId="11" xfId="0" applyNumberFormat="1" applyFont="1" applyFill="1" applyBorder="1"/>
    <xf numFmtId="164" fontId="0" fillId="0" borderId="28" xfId="0" applyNumberFormat="1" applyBorder="1"/>
    <xf numFmtId="164" fontId="0" fillId="0" borderId="45" xfId="0" applyNumberFormat="1" applyBorder="1"/>
    <xf numFmtId="164" fontId="9" fillId="0" borderId="30" xfId="0" applyNumberFormat="1" applyFont="1" applyBorder="1"/>
    <xf numFmtId="164" fontId="2" fillId="2" borderId="43" xfId="0" applyNumberFormat="1" applyFont="1" applyFill="1" applyBorder="1"/>
    <xf numFmtId="164" fontId="10" fillId="0" borderId="42" xfId="0" applyNumberFormat="1" applyFont="1" applyBorder="1"/>
    <xf numFmtId="164" fontId="9" fillId="4" borderId="15" xfId="0" applyNumberFormat="1" applyFont="1" applyFill="1" applyBorder="1"/>
    <xf numFmtId="0" fontId="3" fillId="0" borderId="0" xfId="1" applyFont="1" applyAlignment="1">
      <alignment horizontal="center"/>
    </xf>
    <xf numFmtId="0" fontId="7" fillId="0" borderId="0" xfId="0" applyFont="1" applyAlignment="1">
      <alignment horizontal="center" wrapText="1"/>
    </xf>
    <xf numFmtId="0" fontId="8" fillId="3" borderId="0" xfId="0" applyFont="1" applyFill="1" applyAlignment="1">
      <alignment horizontal="center"/>
    </xf>
    <xf numFmtId="0" fontId="0" fillId="0" borderId="0" xfId="0" applyAlignment="1"/>
    <xf numFmtId="0" fontId="5" fillId="0" borderId="19" xfId="0" applyFont="1" applyBorder="1" applyAlignment="1">
      <alignment horizontal="left" wrapText="1"/>
    </xf>
    <xf numFmtId="0" fontId="0" fillId="0" borderId="19" xfId="0" applyFont="1" applyBorder="1" applyAlignment="1">
      <alignment horizontal="left" wrapText="1"/>
    </xf>
    <xf numFmtId="0" fontId="0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619125</xdr:colOff>
      <xdr:row>3</xdr:row>
      <xdr:rowOff>10906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19125" cy="734806"/>
        </a:xfrm>
        <a:prstGeom prst="rect">
          <a:avLst/>
        </a:prstGeom>
        <a:solidFill>
          <a:schemeClr val="accent1">
            <a:lumMod val="75000"/>
          </a:scheme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563217</xdr:colOff>
      <xdr:row>2</xdr:row>
      <xdr:rowOff>206568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63217" cy="663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raha-kunratice.cz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topLeftCell="A76" zoomScaleNormal="100" zoomScaleSheetLayoutView="100" workbookViewId="0">
      <selection activeCell="A15" sqref="A15"/>
    </sheetView>
  </sheetViews>
  <sheetFormatPr defaultRowHeight="15" x14ac:dyDescent="0.2"/>
  <cols>
    <col min="1" max="2" width="11" style="13" customWidth="1"/>
    <col min="3" max="3" width="78.5703125" style="12" customWidth="1"/>
    <col min="4" max="4" width="12" style="86" customWidth="1"/>
    <col min="5" max="5" width="12" style="77" customWidth="1"/>
    <col min="6" max="6" width="17.85546875" style="2" customWidth="1"/>
    <col min="7" max="7" width="14.7109375" style="86" customWidth="1"/>
    <col min="8" max="8" width="14.5703125" style="86" customWidth="1"/>
    <col min="9" max="9" width="12.7109375" style="166" bestFit="1" customWidth="1"/>
    <col min="10" max="16384" width="9.140625" style="166"/>
  </cols>
  <sheetData>
    <row r="1" spans="1:8" ht="18" x14ac:dyDescent="0.25">
      <c r="A1" s="294" t="s">
        <v>64</v>
      </c>
      <c r="B1" s="294"/>
      <c r="C1" s="294"/>
      <c r="D1" s="294"/>
      <c r="E1" s="294"/>
      <c r="F1" s="294"/>
      <c r="G1" s="294"/>
      <c r="H1" s="295"/>
    </row>
    <row r="2" spans="1:8" ht="21" customHeight="1" x14ac:dyDescent="0.25">
      <c r="A2" s="294" t="s">
        <v>354</v>
      </c>
      <c r="B2" s="294"/>
      <c r="C2" s="294"/>
      <c r="D2" s="294"/>
      <c r="E2" s="294"/>
      <c r="F2" s="294"/>
      <c r="G2" s="294"/>
      <c r="H2" s="294"/>
    </row>
    <row r="3" spans="1:8" ht="18" customHeight="1" x14ac:dyDescent="0.25">
      <c r="A3" s="294" t="s">
        <v>410</v>
      </c>
      <c r="B3" s="294"/>
      <c r="C3" s="294"/>
      <c r="D3" s="294"/>
      <c r="E3" s="294"/>
      <c r="F3" s="294"/>
      <c r="G3" s="294"/>
      <c r="H3" s="295"/>
    </row>
    <row r="4" spans="1:8" ht="15.75" thickBot="1" x14ac:dyDescent="0.25">
      <c r="C4" s="14"/>
    </row>
    <row r="5" spans="1:8" ht="15.75" x14ac:dyDescent="0.25">
      <c r="A5" s="94" t="s">
        <v>1</v>
      </c>
      <c r="B5" s="95" t="s">
        <v>0</v>
      </c>
      <c r="C5" s="138" t="s">
        <v>28</v>
      </c>
      <c r="D5" s="96" t="s">
        <v>269</v>
      </c>
      <c r="E5" s="140" t="s">
        <v>270</v>
      </c>
      <c r="F5" s="109" t="s">
        <v>99</v>
      </c>
      <c r="G5" s="215" t="s">
        <v>351</v>
      </c>
      <c r="H5" s="165" t="s">
        <v>351</v>
      </c>
    </row>
    <row r="6" spans="1:8" ht="16.5" thickBot="1" x14ac:dyDescent="0.3">
      <c r="A6" s="97"/>
      <c r="B6" s="116"/>
      <c r="C6" s="139" t="s">
        <v>29</v>
      </c>
      <c r="D6" s="145" t="s">
        <v>3</v>
      </c>
      <c r="E6" s="146" t="s">
        <v>3</v>
      </c>
      <c r="F6" s="128" t="s">
        <v>400</v>
      </c>
      <c r="G6" s="216" t="s">
        <v>375</v>
      </c>
      <c r="H6" s="181" t="s">
        <v>376</v>
      </c>
    </row>
    <row r="7" spans="1:8" ht="15.75" x14ac:dyDescent="0.25">
      <c r="A7" s="47"/>
      <c r="B7" s="114"/>
      <c r="C7" s="115" t="s">
        <v>66</v>
      </c>
      <c r="D7" s="180"/>
      <c r="E7" s="174"/>
      <c r="F7" s="148"/>
      <c r="G7" s="279"/>
      <c r="H7" s="286"/>
    </row>
    <row r="8" spans="1:8" x14ac:dyDescent="0.2">
      <c r="A8" s="8">
        <v>1341</v>
      </c>
      <c r="B8" s="10"/>
      <c r="C8" s="58" t="s">
        <v>137</v>
      </c>
      <c r="D8" s="66">
        <v>200</v>
      </c>
      <c r="E8" s="175">
        <v>200</v>
      </c>
      <c r="F8" s="129">
        <v>188796</v>
      </c>
      <c r="G8" s="231">
        <v>200</v>
      </c>
      <c r="H8" s="287"/>
    </row>
    <row r="9" spans="1:8" x14ac:dyDescent="0.2">
      <c r="A9" s="8">
        <v>1342</v>
      </c>
      <c r="B9" s="10"/>
      <c r="C9" s="58" t="s">
        <v>138</v>
      </c>
      <c r="D9" s="66">
        <v>700</v>
      </c>
      <c r="E9" s="175">
        <v>700</v>
      </c>
      <c r="F9" s="129">
        <v>883675</v>
      </c>
      <c r="G9" s="231">
        <v>800</v>
      </c>
      <c r="H9" s="237"/>
    </row>
    <row r="10" spans="1:8" x14ac:dyDescent="0.2">
      <c r="A10" s="8">
        <v>1343</v>
      </c>
      <c r="B10" s="10"/>
      <c r="C10" s="58" t="s">
        <v>139</v>
      </c>
      <c r="D10" s="66">
        <v>600</v>
      </c>
      <c r="E10" s="175">
        <f>600+2000</f>
        <v>2600</v>
      </c>
      <c r="F10" s="129">
        <v>2334880</v>
      </c>
      <c r="G10" s="231">
        <v>900</v>
      </c>
      <c r="H10" s="237"/>
    </row>
    <row r="11" spans="1:8" x14ac:dyDescent="0.2">
      <c r="A11" s="8">
        <v>1344</v>
      </c>
      <c r="B11" s="10"/>
      <c r="C11" s="58" t="s">
        <v>140</v>
      </c>
      <c r="D11" s="66">
        <v>10</v>
      </c>
      <c r="E11" s="175">
        <v>10</v>
      </c>
      <c r="F11" s="129">
        <v>0</v>
      </c>
      <c r="G11" s="231">
        <v>10</v>
      </c>
      <c r="H11" s="237"/>
    </row>
    <row r="12" spans="1:8" x14ac:dyDescent="0.2">
      <c r="A12" s="8">
        <v>1361</v>
      </c>
      <c r="B12" s="10"/>
      <c r="C12" s="58" t="s">
        <v>141</v>
      </c>
      <c r="D12" s="66">
        <v>100</v>
      </c>
      <c r="E12" s="175">
        <v>100</v>
      </c>
      <c r="F12" s="129">
        <v>81010</v>
      </c>
      <c r="G12" s="231">
        <v>100</v>
      </c>
      <c r="H12" s="237"/>
    </row>
    <row r="13" spans="1:8" x14ac:dyDescent="0.2">
      <c r="A13" s="8">
        <v>1511</v>
      </c>
      <c r="B13" s="10"/>
      <c r="C13" s="58" t="s">
        <v>142</v>
      </c>
      <c r="D13" s="66">
        <v>26000</v>
      </c>
      <c r="E13" s="175">
        <v>26000</v>
      </c>
      <c r="F13" s="129">
        <v>20369627.469999999</v>
      </c>
      <c r="G13" s="231">
        <v>26000</v>
      </c>
      <c r="H13" s="237"/>
    </row>
    <row r="14" spans="1:8" s="5" customFormat="1" ht="15.75" x14ac:dyDescent="0.25">
      <c r="A14" s="8"/>
      <c r="B14" s="10"/>
      <c r="C14" s="57" t="s">
        <v>67</v>
      </c>
      <c r="D14" s="67">
        <f>SUM(D8:D13)</f>
        <v>27610</v>
      </c>
      <c r="E14" s="176">
        <f>SUM(E8:E13)</f>
        <v>29610</v>
      </c>
      <c r="F14" s="130">
        <f t="shared" ref="F14" si="0">SUM(F8:F13)</f>
        <v>23857988.469999999</v>
      </c>
      <c r="G14" s="233">
        <f>SUM(G8:G13)</f>
        <v>28010</v>
      </c>
      <c r="H14" s="239">
        <f>G14</f>
        <v>28010</v>
      </c>
    </row>
    <row r="15" spans="1:8" ht="15.75" x14ac:dyDescent="0.25">
      <c r="A15" s="8"/>
      <c r="B15" s="10"/>
      <c r="C15" s="58"/>
      <c r="D15" s="66"/>
      <c r="E15" s="175"/>
      <c r="F15" s="131"/>
      <c r="G15" s="231"/>
      <c r="H15" s="239"/>
    </row>
    <row r="16" spans="1:8" ht="15.75" x14ac:dyDescent="0.25">
      <c r="A16" s="8"/>
      <c r="B16" s="10"/>
      <c r="C16" s="57" t="s">
        <v>68</v>
      </c>
      <c r="D16" s="66"/>
      <c r="E16" s="175"/>
      <c r="F16" s="131"/>
      <c r="G16" s="231"/>
      <c r="H16" s="237"/>
    </row>
    <row r="17" spans="1:8" x14ac:dyDescent="0.2">
      <c r="A17" s="8">
        <v>2111</v>
      </c>
      <c r="B17" s="10">
        <v>3314</v>
      </c>
      <c r="C17" s="58" t="s">
        <v>143</v>
      </c>
      <c r="D17" s="66">
        <v>19</v>
      </c>
      <c r="E17" s="175">
        <v>19</v>
      </c>
      <c r="F17" s="129">
        <v>18400</v>
      </c>
      <c r="G17" s="231">
        <v>19</v>
      </c>
      <c r="H17" s="237"/>
    </row>
    <row r="18" spans="1:8" x14ac:dyDescent="0.2">
      <c r="A18" s="8">
        <v>2111</v>
      </c>
      <c r="B18" s="10">
        <v>3319</v>
      </c>
      <c r="C18" s="58" t="s">
        <v>194</v>
      </c>
      <c r="D18" s="66">
        <v>38</v>
      </c>
      <c r="E18" s="175">
        <v>38</v>
      </c>
      <c r="F18" s="129">
        <v>37250</v>
      </c>
      <c r="G18" s="231">
        <v>35</v>
      </c>
      <c r="H18" s="237"/>
    </row>
    <row r="19" spans="1:8" x14ac:dyDescent="0.2">
      <c r="A19" s="8">
        <v>2111</v>
      </c>
      <c r="B19" s="10">
        <v>3632</v>
      </c>
      <c r="C19" s="58" t="s">
        <v>144</v>
      </c>
      <c r="D19" s="66">
        <v>25</v>
      </c>
      <c r="E19" s="175">
        <v>25</v>
      </c>
      <c r="F19" s="129">
        <v>33800</v>
      </c>
      <c r="G19" s="231">
        <v>30</v>
      </c>
      <c r="H19" s="237"/>
    </row>
    <row r="20" spans="1:8" ht="30" x14ac:dyDescent="0.2">
      <c r="A20" s="8">
        <v>2111</v>
      </c>
      <c r="B20" s="10">
        <v>6171</v>
      </c>
      <c r="C20" s="58" t="s">
        <v>145</v>
      </c>
      <c r="D20" s="66">
        <v>2</v>
      </c>
      <c r="E20" s="175">
        <v>2</v>
      </c>
      <c r="F20" s="129">
        <v>0</v>
      </c>
      <c r="G20" s="231">
        <v>2.6</v>
      </c>
      <c r="H20" s="237"/>
    </row>
    <row r="21" spans="1:8" x14ac:dyDescent="0.2">
      <c r="A21" s="8">
        <v>2112</v>
      </c>
      <c r="B21" s="10">
        <v>3319</v>
      </c>
      <c r="C21" s="58" t="s">
        <v>250</v>
      </c>
      <c r="D21" s="66">
        <v>20</v>
      </c>
      <c r="E21" s="175">
        <v>20</v>
      </c>
      <c r="F21" s="129">
        <v>0</v>
      </c>
      <c r="G21" s="231">
        <v>0</v>
      </c>
      <c r="H21" s="237"/>
    </row>
    <row r="22" spans="1:8" x14ac:dyDescent="0.2">
      <c r="A22" s="8">
        <v>2139</v>
      </c>
      <c r="B22" s="10">
        <v>3632</v>
      </c>
      <c r="C22" s="58" t="s">
        <v>106</v>
      </c>
      <c r="D22" s="66">
        <v>500</v>
      </c>
      <c r="E22" s="175">
        <v>500</v>
      </c>
      <c r="F22" s="129">
        <v>633106</v>
      </c>
      <c r="G22" s="231">
        <v>600</v>
      </c>
      <c r="H22" s="237"/>
    </row>
    <row r="23" spans="1:8" x14ac:dyDescent="0.2">
      <c r="A23" s="8">
        <v>2141</v>
      </c>
      <c r="B23" s="10">
        <v>6310</v>
      </c>
      <c r="C23" s="58" t="s">
        <v>30</v>
      </c>
      <c r="D23" s="66">
        <v>4500</v>
      </c>
      <c r="E23" s="175">
        <v>4500</v>
      </c>
      <c r="F23" s="129">
        <v>6066264.1699999999</v>
      </c>
      <c r="G23" s="231">
        <v>5400</v>
      </c>
      <c r="H23" s="237"/>
    </row>
    <row r="24" spans="1:8" ht="27.75" customHeight="1" x14ac:dyDescent="0.2">
      <c r="A24" s="8">
        <v>2212</v>
      </c>
      <c r="B24" s="10">
        <v>6171</v>
      </c>
      <c r="C24" s="58" t="s">
        <v>146</v>
      </c>
      <c r="D24" s="66">
        <v>30</v>
      </c>
      <c r="E24" s="175">
        <v>30</v>
      </c>
      <c r="F24" s="129">
        <v>34500</v>
      </c>
      <c r="G24" s="231">
        <v>30</v>
      </c>
      <c r="H24" s="237"/>
    </row>
    <row r="25" spans="1:8" ht="21.75" customHeight="1" x14ac:dyDescent="0.2">
      <c r="A25" s="121">
        <v>2229</v>
      </c>
      <c r="B25" s="10"/>
      <c r="C25" s="132" t="s">
        <v>202</v>
      </c>
      <c r="D25" s="66"/>
      <c r="E25" s="175"/>
      <c r="F25" s="129"/>
      <c r="G25" s="231"/>
      <c r="H25" s="237"/>
    </row>
    <row r="26" spans="1:8" x14ac:dyDescent="0.2">
      <c r="A26" s="8">
        <v>2229</v>
      </c>
      <c r="B26" s="10">
        <v>3113</v>
      </c>
      <c r="C26" s="58" t="s">
        <v>277</v>
      </c>
      <c r="D26" s="66">
        <v>0</v>
      </c>
      <c r="E26" s="175">
        <v>119.9</v>
      </c>
      <c r="F26" s="129">
        <v>119922</v>
      </c>
      <c r="G26" s="231">
        <v>0</v>
      </c>
      <c r="H26" s="237"/>
    </row>
    <row r="27" spans="1:8" x14ac:dyDescent="0.2">
      <c r="A27" s="8">
        <v>2229</v>
      </c>
      <c r="B27" s="10">
        <v>3113</v>
      </c>
      <c r="C27" s="58" t="s">
        <v>307</v>
      </c>
      <c r="D27" s="66">
        <v>0</v>
      </c>
      <c r="E27" s="175">
        <v>5.4</v>
      </c>
      <c r="F27" s="129">
        <v>5427.99</v>
      </c>
      <c r="G27" s="231">
        <v>0</v>
      </c>
      <c r="H27" s="237"/>
    </row>
    <row r="28" spans="1:8" x14ac:dyDescent="0.2">
      <c r="A28" s="8">
        <v>2321</v>
      </c>
      <c r="B28" s="10">
        <v>6171</v>
      </c>
      <c r="C28" s="58" t="s">
        <v>334</v>
      </c>
      <c r="D28" s="66">
        <v>0</v>
      </c>
      <c r="E28" s="175">
        <v>46586.5</v>
      </c>
      <c r="F28" s="129">
        <v>46586500</v>
      </c>
      <c r="G28" s="231">
        <v>0</v>
      </c>
      <c r="H28" s="237"/>
    </row>
    <row r="29" spans="1:8" x14ac:dyDescent="0.2">
      <c r="A29" s="8">
        <v>2322</v>
      </c>
      <c r="B29" s="10">
        <v>6171</v>
      </c>
      <c r="C29" s="58" t="s">
        <v>224</v>
      </c>
      <c r="D29" s="66">
        <v>0</v>
      </c>
      <c r="E29" s="175">
        <v>0</v>
      </c>
      <c r="F29" s="129">
        <v>39245</v>
      </c>
      <c r="G29" s="231">
        <v>0</v>
      </c>
      <c r="H29" s="237"/>
    </row>
    <row r="30" spans="1:8" ht="30" x14ac:dyDescent="0.2">
      <c r="A30" s="8">
        <v>2324</v>
      </c>
      <c r="B30" s="10">
        <v>6171</v>
      </c>
      <c r="C30" s="58" t="s">
        <v>147</v>
      </c>
      <c r="D30" s="66">
        <v>250</v>
      </c>
      <c r="E30" s="175">
        <v>250</v>
      </c>
      <c r="F30" s="129">
        <v>171277.94</v>
      </c>
      <c r="G30" s="231">
        <v>200</v>
      </c>
      <c r="H30" s="237"/>
    </row>
    <row r="31" spans="1:8" ht="15.75" x14ac:dyDescent="0.25">
      <c r="A31" s="8"/>
      <c r="B31" s="10"/>
      <c r="C31" s="57" t="s">
        <v>69</v>
      </c>
      <c r="D31" s="67">
        <f>SUM(D17:D30)</f>
        <v>5384</v>
      </c>
      <c r="E31" s="176">
        <f>SUM(E17:E30)</f>
        <v>52095.8</v>
      </c>
      <c r="F31" s="130">
        <f>SUM(F17:F30)</f>
        <v>53745693.099999994</v>
      </c>
      <c r="G31" s="233">
        <f>SUM(G17:G30)</f>
        <v>6316.6</v>
      </c>
      <c r="H31" s="239">
        <f>G31</f>
        <v>6316.6</v>
      </c>
    </row>
    <row r="32" spans="1:8" ht="15.75" x14ac:dyDescent="0.25">
      <c r="A32" s="8"/>
      <c r="B32" s="10"/>
      <c r="C32" s="57"/>
      <c r="D32" s="67"/>
      <c r="E32" s="176"/>
      <c r="F32" s="130"/>
      <c r="G32" s="231"/>
      <c r="H32" s="239"/>
    </row>
    <row r="33" spans="1:9" s="160" customFormat="1" ht="30" x14ac:dyDescent="0.2">
      <c r="A33" s="8">
        <v>3121</v>
      </c>
      <c r="B33" s="10">
        <v>2212</v>
      </c>
      <c r="C33" s="58" t="s">
        <v>240</v>
      </c>
      <c r="D33" s="66">
        <v>3339</v>
      </c>
      <c r="E33" s="175">
        <v>3339</v>
      </c>
      <c r="F33" s="129">
        <v>3338820</v>
      </c>
      <c r="G33" s="231">
        <v>0</v>
      </c>
      <c r="H33" s="237"/>
    </row>
    <row r="34" spans="1:9" s="160" customFormat="1" ht="34.5" customHeight="1" x14ac:dyDescent="0.2">
      <c r="A34" s="8">
        <v>3121</v>
      </c>
      <c r="B34" s="10">
        <v>3111</v>
      </c>
      <c r="C34" s="58" t="s">
        <v>248</v>
      </c>
      <c r="D34" s="66">
        <v>4723.3</v>
      </c>
      <c r="E34" s="175">
        <v>4723.3</v>
      </c>
      <c r="F34" s="129">
        <v>4723294</v>
      </c>
      <c r="G34" s="231">
        <v>0</v>
      </c>
      <c r="H34" s="237"/>
      <c r="I34" s="159"/>
    </row>
    <row r="35" spans="1:9" s="160" customFormat="1" ht="15.75" x14ac:dyDescent="0.25">
      <c r="A35" s="8"/>
      <c r="B35" s="10"/>
      <c r="C35" s="59" t="s">
        <v>206</v>
      </c>
      <c r="D35" s="67">
        <f t="shared" ref="D35:E35" si="1">SUM(D33:D34)</f>
        <v>8062.3</v>
      </c>
      <c r="E35" s="176">
        <f t="shared" si="1"/>
        <v>8062.3</v>
      </c>
      <c r="F35" s="133">
        <f>SUM(F33:F34)</f>
        <v>8062114</v>
      </c>
      <c r="G35" s="233">
        <f>SUM(G33:G34)</f>
        <v>0</v>
      </c>
      <c r="H35" s="239">
        <f>G35</f>
        <v>0</v>
      </c>
      <c r="I35" s="159"/>
    </row>
    <row r="36" spans="1:9" ht="15.75" x14ac:dyDescent="0.25">
      <c r="A36" s="8"/>
      <c r="B36" s="10"/>
      <c r="C36" s="57"/>
      <c r="D36" s="66"/>
      <c r="E36" s="175"/>
      <c r="F36" s="130"/>
      <c r="G36" s="231"/>
      <c r="H36" s="239"/>
      <c r="I36" s="2"/>
    </row>
    <row r="37" spans="1:9" s="9" customFormat="1" ht="15.75" x14ac:dyDescent="0.25">
      <c r="A37" s="8"/>
      <c r="B37" s="10"/>
      <c r="C37" s="59" t="s">
        <v>71</v>
      </c>
      <c r="D37" s="66"/>
      <c r="E37" s="175"/>
      <c r="F37" s="133"/>
      <c r="G37" s="231"/>
      <c r="H37" s="237"/>
      <c r="I37" s="11"/>
    </row>
    <row r="38" spans="1:9" s="9" customFormat="1" ht="30" x14ac:dyDescent="0.2">
      <c r="A38" s="8">
        <v>4131</v>
      </c>
      <c r="B38" s="10">
        <v>6330</v>
      </c>
      <c r="C38" s="58" t="s">
        <v>183</v>
      </c>
      <c r="D38" s="66">
        <v>45000</v>
      </c>
      <c r="E38" s="175">
        <v>45000</v>
      </c>
      <c r="F38" s="129">
        <v>0</v>
      </c>
      <c r="G38" s="231">
        <v>45000</v>
      </c>
      <c r="H38" s="237"/>
    </row>
    <row r="39" spans="1:9" s="9" customFormat="1" ht="30" x14ac:dyDescent="0.2">
      <c r="A39" s="8">
        <v>4131</v>
      </c>
      <c r="B39" s="10">
        <v>6330</v>
      </c>
      <c r="C39" s="58" t="s">
        <v>333</v>
      </c>
      <c r="D39" s="66">
        <v>0</v>
      </c>
      <c r="E39" s="175">
        <v>2500</v>
      </c>
      <c r="F39" s="129">
        <v>0</v>
      </c>
      <c r="G39" s="231">
        <v>0</v>
      </c>
      <c r="H39" s="237"/>
    </row>
    <row r="40" spans="1:9" ht="30" x14ac:dyDescent="0.2">
      <c r="A40" s="8">
        <v>4133</v>
      </c>
      <c r="B40" s="10">
        <v>6330</v>
      </c>
      <c r="C40" s="58" t="s">
        <v>131</v>
      </c>
      <c r="D40" s="66">
        <v>2916</v>
      </c>
      <c r="E40" s="175">
        <v>2916</v>
      </c>
      <c r="F40" s="129">
        <v>0</v>
      </c>
      <c r="G40" s="231">
        <f>'Výdaje 2025 listopad  Rozp'!G283</f>
        <v>1288</v>
      </c>
      <c r="H40" s="237"/>
    </row>
    <row r="41" spans="1:9" s="160" customFormat="1" x14ac:dyDescent="0.2">
      <c r="A41" s="8">
        <v>4134</v>
      </c>
      <c r="B41" s="10">
        <v>6330</v>
      </c>
      <c r="C41" s="58" t="s">
        <v>207</v>
      </c>
      <c r="D41" s="208"/>
      <c r="E41" s="209"/>
      <c r="F41" s="210"/>
      <c r="G41" s="231"/>
      <c r="H41" s="237"/>
    </row>
    <row r="42" spans="1:9" x14ac:dyDescent="0.2">
      <c r="A42" s="8"/>
      <c r="B42" s="10"/>
      <c r="C42" s="58" t="s">
        <v>184</v>
      </c>
      <c r="D42" s="66">
        <v>490</v>
      </c>
      <c r="E42" s="175">
        <v>490</v>
      </c>
      <c r="F42" s="129">
        <v>364504</v>
      </c>
      <c r="G42" s="231">
        <v>490</v>
      </c>
      <c r="H42" s="237"/>
    </row>
    <row r="43" spans="1:9" x14ac:dyDescent="0.2">
      <c r="A43" s="8"/>
      <c r="B43" s="10"/>
      <c r="C43" s="58" t="s">
        <v>58</v>
      </c>
      <c r="D43" s="66">
        <v>0</v>
      </c>
      <c r="E43" s="175">
        <v>2500</v>
      </c>
      <c r="F43" s="129">
        <v>0</v>
      </c>
      <c r="G43" s="231">
        <v>0</v>
      </c>
      <c r="H43" s="237"/>
    </row>
    <row r="44" spans="1:9" x14ac:dyDescent="0.2">
      <c r="A44" s="8"/>
      <c r="B44" s="10"/>
      <c r="C44" s="58" t="s">
        <v>332</v>
      </c>
      <c r="D44" s="66">
        <v>0</v>
      </c>
      <c r="E44" s="11">
        <v>46586.5</v>
      </c>
      <c r="F44" s="210">
        <v>46586500</v>
      </c>
      <c r="G44" s="231">
        <v>0</v>
      </c>
      <c r="H44" s="237"/>
    </row>
    <row r="45" spans="1:9" x14ac:dyDescent="0.2">
      <c r="A45" s="8">
        <v>4139</v>
      </c>
      <c r="B45" s="10">
        <v>6330</v>
      </c>
      <c r="C45" s="58" t="s">
        <v>148</v>
      </c>
      <c r="D45" s="66">
        <f t="shared" ref="D45:E45" si="2">34+430+12</f>
        <v>476</v>
      </c>
      <c r="E45" s="175">
        <f t="shared" si="2"/>
        <v>476</v>
      </c>
      <c r="F45" s="129">
        <v>349945</v>
      </c>
      <c r="G45" s="231">
        <v>490</v>
      </c>
      <c r="H45" s="237"/>
    </row>
    <row r="46" spans="1:9" ht="30.75" x14ac:dyDescent="0.25">
      <c r="A46" s="26">
        <v>4137</v>
      </c>
      <c r="B46" s="29">
        <v>6330</v>
      </c>
      <c r="C46" s="61" t="s">
        <v>150</v>
      </c>
      <c r="D46" s="66">
        <f t="shared" ref="D46:E46" si="3">339.2-7.8</f>
        <v>331.4</v>
      </c>
      <c r="E46" s="175">
        <f t="shared" si="3"/>
        <v>331.4</v>
      </c>
      <c r="F46" s="129">
        <f>27600+27600+27600+27600+27600+27600+27600+27600+27600+27600+27600</f>
        <v>303600</v>
      </c>
      <c r="G46" s="231">
        <v>301.39999999999998</v>
      </c>
      <c r="H46" s="237"/>
    </row>
    <row r="47" spans="1:9" ht="30.75" x14ac:dyDescent="0.25">
      <c r="A47" s="26">
        <v>4137</v>
      </c>
      <c r="B47" s="29">
        <v>6330</v>
      </c>
      <c r="C47" s="61" t="s">
        <v>149</v>
      </c>
      <c r="D47" s="66">
        <v>65133.3</v>
      </c>
      <c r="E47" s="175">
        <v>65133.3</v>
      </c>
      <c r="F47" s="129">
        <f>16283000+16283000+16283000+16284300</f>
        <v>65133300</v>
      </c>
      <c r="G47" s="231">
        <v>86636</v>
      </c>
      <c r="H47" s="237"/>
    </row>
    <row r="48" spans="1:9" ht="31.5" x14ac:dyDescent="0.25">
      <c r="A48" s="8"/>
      <c r="B48" s="10"/>
      <c r="C48" s="58" t="s">
        <v>182</v>
      </c>
      <c r="D48" s="66"/>
      <c r="E48" s="175"/>
      <c r="F48" s="129"/>
      <c r="G48" s="231"/>
      <c r="H48" s="237"/>
    </row>
    <row r="49" spans="1:9" x14ac:dyDescent="0.2">
      <c r="A49" s="8">
        <v>4137</v>
      </c>
      <c r="B49" s="10">
        <v>6330</v>
      </c>
      <c r="C49" s="58" t="s">
        <v>97</v>
      </c>
      <c r="D49" s="66">
        <v>0</v>
      </c>
      <c r="E49" s="175">
        <v>11.4</v>
      </c>
      <c r="F49" s="129">
        <v>11400</v>
      </c>
      <c r="G49" s="231">
        <v>0</v>
      </c>
      <c r="H49" s="237"/>
    </row>
    <row r="50" spans="1:9" x14ac:dyDescent="0.2">
      <c r="A50" s="8">
        <v>4137</v>
      </c>
      <c r="B50" s="10">
        <v>6330</v>
      </c>
      <c r="C50" s="58" t="s">
        <v>278</v>
      </c>
      <c r="D50" s="66">
        <v>0</v>
      </c>
      <c r="E50" s="175">
        <v>2104.6999999999998</v>
      </c>
      <c r="F50" s="129">
        <v>2104713.6</v>
      </c>
      <c r="G50" s="231">
        <v>0</v>
      </c>
      <c r="H50" s="237"/>
    </row>
    <row r="51" spans="1:9" x14ac:dyDescent="0.2">
      <c r="A51" s="8">
        <v>4137</v>
      </c>
      <c r="B51" s="10">
        <v>6330</v>
      </c>
      <c r="C51" s="58" t="s">
        <v>290</v>
      </c>
      <c r="D51" s="66">
        <v>0</v>
      </c>
      <c r="E51" s="175">
        <v>60.5</v>
      </c>
      <c r="F51" s="129">
        <v>60500</v>
      </c>
      <c r="G51" s="231">
        <v>0</v>
      </c>
      <c r="H51" s="237"/>
    </row>
    <row r="52" spans="1:9" x14ac:dyDescent="0.2">
      <c r="A52" s="8">
        <v>4137</v>
      </c>
      <c r="B52" s="10">
        <v>6330</v>
      </c>
      <c r="C52" s="58" t="s">
        <v>291</v>
      </c>
      <c r="D52" s="66">
        <v>0</v>
      </c>
      <c r="E52" s="175">
        <v>22.4</v>
      </c>
      <c r="F52" s="129">
        <v>22400</v>
      </c>
      <c r="G52" s="231">
        <v>0</v>
      </c>
      <c r="H52" s="237"/>
    </row>
    <row r="53" spans="1:9" ht="45" x14ac:dyDescent="0.2">
      <c r="A53" s="8">
        <v>4137</v>
      </c>
      <c r="B53" s="10">
        <v>6330</v>
      </c>
      <c r="C53" s="58" t="s">
        <v>292</v>
      </c>
      <c r="D53" s="66">
        <v>0</v>
      </c>
      <c r="E53" s="175">
        <v>118</v>
      </c>
      <c r="F53" s="129">
        <v>118000</v>
      </c>
      <c r="G53" s="231">
        <v>0</v>
      </c>
      <c r="H53" s="237"/>
      <c r="I53" s="2"/>
    </row>
    <row r="54" spans="1:9" ht="30" customHeight="1" x14ac:dyDescent="0.2">
      <c r="A54" s="8">
        <v>4137</v>
      </c>
      <c r="B54" s="10">
        <v>6330</v>
      </c>
      <c r="C54" s="58" t="s">
        <v>271</v>
      </c>
      <c r="D54" s="66">
        <v>0</v>
      </c>
      <c r="E54" s="175">
        <v>7902</v>
      </c>
      <c r="F54" s="129">
        <v>7902006.3499999996</v>
      </c>
      <c r="G54" s="231">
        <v>0</v>
      </c>
      <c r="H54" s="237"/>
    </row>
    <row r="55" spans="1:9" x14ac:dyDescent="0.2">
      <c r="A55" s="8">
        <v>4137</v>
      </c>
      <c r="B55" s="10">
        <v>6330</v>
      </c>
      <c r="C55" s="58" t="s">
        <v>296</v>
      </c>
      <c r="D55" s="66">
        <v>0</v>
      </c>
      <c r="E55" s="175">
        <v>2484.8000000000002</v>
      </c>
      <c r="F55" s="129">
        <v>2484800</v>
      </c>
      <c r="G55" s="231">
        <v>0</v>
      </c>
      <c r="H55" s="237"/>
    </row>
    <row r="56" spans="1:9" x14ac:dyDescent="0.2">
      <c r="A56" s="8">
        <v>4137</v>
      </c>
      <c r="B56" s="10">
        <v>6330</v>
      </c>
      <c r="C56" s="58" t="s">
        <v>312</v>
      </c>
      <c r="D56" s="66">
        <v>0</v>
      </c>
      <c r="E56" s="175">
        <v>384.5</v>
      </c>
      <c r="F56" s="129">
        <v>384465</v>
      </c>
      <c r="G56" s="231">
        <v>0</v>
      </c>
      <c r="H56" s="237"/>
    </row>
    <row r="57" spans="1:9" ht="30" x14ac:dyDescent="0.2">
      <c r="A57" s="8">
        <v>4137</v>
      </c>
      <c r="B57" s="10">
        <v>6330</v>
      </c>
      <c r="C57" s="58" t="s">
        <v>313</v>
      </c>
      <c r="D57" s="66">
        <v>0</v>
      </c>
      <c r="E57" s="175">
        <v>650</v>
      </c>
      <c r="F57" s="129">
        <v>650000</v>
      </c>
      <c r="G57" s="231">
        <v>0</v>
      </c>
      <c r="H57" s="237"/>
    </row>
    <row r="58" spans="1:9" x14ac:dyDescent="0.2">
      <c r="A58" s="8">
        <v>4137</v>
      </c>
      <c r="B58" s="10">
        <v>6330</v>
      </c>
      <c r="C58" s="58" t="s">
        <v>326</v>
      </c>
      <c r="D58" s="66">
        <v>0</v>
      </c>
      <c r="E58" s="175">
        <v>215</v>
      </c>
      <c r="F58" s="129">
        <v>215000</v>
      </c>
      <c r="G58" s="231">
        <v>0</v>
      </c>
      <c r="H58" s="237"/>
    </row>
    <row r="59" spans="1:9" x14ac:dyDescent="0.2">
      <c r="A59" s="8">
        <v>4137</v>
      </c>
      <c r="B59" s="10">
        <v>6330</v>
      </c>
      <c r="C59" s="58" t="s">
        <v>327</v>
      </c>
      <c r="D59" s="66">
        <v>0</v>
      </c>
      <c r="E59" s="175">
        <v>3.2</v>
      </c>
      <c r="F59" s="129">
        <v>3221.55</v>
      </c>
      <c r="G59" s="231">
        <v>0</v>
      </c>
      <c r="H59" s="237"/>
    </row>
    <row r="60" spans="1:9" ht="30" x14ac:dyDescent="0.2">
      <c r="A60" s="8">
        <v>4137</v>
      </c>
      <c r="B60" s="10">
        <v>6330</v>
      </c>
      <c r="C60" s="58" t="s">
        <v>341</v>
      </c>
      <c r="D60" s="66">
        <v>0</v>
      </c>
      <c r="E60" s="175">
        <v>145.9</v>
      </c>
      <c r="F60" s="129">
        <v>145853.4</v>
      </c>
      <c r="G60" s="231">
        <v>0</v>
      </c>
      <c r="H60" s="237"/>
    </row>
    <row r="61" spans="1:9" x14ac:dyDescent="0.2">
      <c r="A61" s="8">
        <v>4137</v>
      </c>
      <c r="B61" s="10">
        <v>6330</v>
      </c>
      <c r="C61" s="58" t="s">
        <v>401</v>
      </c>
      <c r="D61" s="66">
        <v>0</v>
      </c>
      <c r="E61" s="175">
        <v>3183.9</v>
      </c>
      <c r="F61" s="129">
        <v>3183896</v>
      </c>
      <c r="G61" s="231"/>
      <c r="H61" s="237"/>
    </row>
    <row r="62" spans="1:9" x14ac:dyDescent="0.2">
      <c r="A62" s="8"/>
      <c r="B62" s="10"/>
      <c r="C62" s="58"/>
      <c r="D62" s="66"/>
      <c r="E62" s="175"/>
      <c r="F62" s="129"/>
      <c r="G62" s="231"/>
      <c r="H62" s="237"/>
    </row>
    <row r="63" spans="1:9" ht="30.75" x14ac:dyDescent="0.25">
      <c r="A63" s="8"/>
      <c r="B63" s="10"/>
      <c r="C63" s="58" t="s">
        <v>151</v>
      </c>
      <c r="D63" s="66"/>
      <c r="E63" s="175"/>
      <c r="F63" s="129"/>
      <c r="G63" s="231"/>
      <c r="H63" s="237"/>
    </row>
    <row r="64" spans="1:9" x14ac:dyDescent="0.2">
      <c r="A64" s="8">
        <v>4251</v>
      </c>
      <c r="B64" s="10">
        <v>6330</v>
      </c>
      <c r="C64" s="89" t="s">
        <v>234</v>
      </c>
      <c r="D64" s="134">
        <v>0</v>
      </c>
      <c r="E64" s="134">
        <v>10000</v>
      </c>
      <c r="F64" s="134">
        <v>10000000</v>
      </c>
      <c r="G64" s="231">
        <v>0</v>
      </c>
      <c r="H64" s="237"/>
    </row>
    <row r="65" spans="1:9" x14ac:dyDescent="0.2">
      <c r="A65" s="8">
        <v>4251</v>
      </c>
      <c r="B65" s="10">
        <v>6330</v>
      </c>
      <c r="C65" s="89" t="s">
        <v>234</v>
      </c>
      <c r="D65" s="134">
        <v>0</v>
      </c>
      <c r="E65" s="134">
        <v>44000</v>
      </c>
      <c r="F65" s="134">
        <v>44000000</v>
      </c>
      <c r="G65" s="231">
        <v>0</v>
      </c>
      <c r="H65" s="237"/>
    </row>
    <row r="66" spans="1:9" x14ac:dyDescent="0.2">
      <c r="A66" s="8">
        <v>4251</v>
      </c>
      <c r="B66" s="10">
        <v>6330</v>
      </c>
      <c r="C66" s="89" t="s">
        <v>340</v>
      </c>
      <c r="D66" s="134">
        <v>0</v>
      </c>
      <c r="E66" s="134">
        <v>10000</v>
      </c>
      <c r="F66" s="134">
        <v>10000000</v>
      </c>
      <c r="G66" s="231">
        <v>0</v>
      </c>
      <c r="H66" s="237"/>
    </row>
    <row r="67" spans="1:9" s="5" customFormat="1" ht="15.75" x14ac:dyDescent="0.25">
      <c r="A67" s="8"/>
      <c r="B67" s="10"/>
      <c r="C67" s="135" t="s">
        <v>75</v>
      </c>
      <c r="D67" s="67">
        <f>SUM(D38:D66)</f>
        <v>114346.70000000001</v>
      </c>
      <c r="E67" s="67">
        <f>SUM(E38:E66)</f>
        <v>247219.5</v>
      </c>
      <c r="F67" s="133">
        <f>SUM(F38:F66)</f>
        <v>194024104.89999998</v>
      </c>
      <c r="G67" s="233">
        <f>SUM(G38:G66)</f>
        <v>134205.4</v>
      </c>
      <c r="H67" s="239">
        <f>G67</f>
        <v>134205.4</v>
      </c>
    </row>
    <row r="68" spans="1:9" s="5" customFormat="1" ht="16.5" thickBot="1" x14ac:dyDescent="0.3">
      <c r="A68" s="150"/>
      <c r="B68" s="151"/>
      <c r="C68" s="152"/>
      <c r="D68" s="66"/>
      <c r="E68" s="177"/>
      <c r="F68" s="149"/>
      <c r="G68" s="231"/>
      <c r="H68" s="288"/>
    </row>
    <row r="69" spans="1:9" ht="36" customHeight="1" thickBot="1" x14ac:dyDescent="0.3">
      <c r="A69" s="43"/>
      <c r="B69" s="154"/>
      <c r="C69" s="143" t="s">
        <v>74</v>
      </c>
      <c r="D69" s="79">
        <f>D14+D31+D67+D35</f>
        <v>155403</v>
      </c>
      <c r="E69" s="182">
        <f>E14+E31+E67+E35</f>
        <v>336987.6</v>
      </c>
      <c r="F69" s="213">
        <f>F14+F31+F35+F67</f>
        <v>279689900.46999997</v>
      </c>
      <c r="G69" s="280">
        <f>G14+G31+G35+G67</f>
        <v>168532</v>
      </c>
      <c r="H69" s="289">
        <f>SUM(H7:H67)</f>
        <v>168532</v>
      </c>
    </row>
    <row r="70" spans="1:9" ht="15.75" x14ac:dyDescent="0.25">
      <c r="B70" s="73"/>
      <c r="C70" s="20"/>
      <c r="D70" s="110"/>
      <c r="E70" s="110"/>
      <c r="F70" s="186"/>
      <c r="G70" s="110"/>
      <c r="H70" s="110"/>
    </row>
    <row r="71" spans="1:9" ht="16.5" thickBot="1" x14ac:dyDescent="0.3">
      <c r="B71" s="73"/>
      <c r="C71" s="20" t="s">
        <v>70</v>
      </c>
      <c r="D71" s="91"/>
      <c r="E71" s="91"/>
      <c r="F71" s="187"/>
      <c r="G71" s="91"/>
      <c r="H71" s="91"/>
    </row>
    <row r="72" spans="1:9" x14ac:dyDescent="0.2">
      <c r="A72" s="44">
        <v>4133</v>
      </c>
      <c r="B72" s="98">
        <v>6330</v>
      </c>
      <c r="C72" s="141" t="s">
        <v>100</v>
      </c>
      <c r="D72" s="183">
        <f>D40</f>
        <v>2916</v>
      </c>
      <c r="E72" s="184">
        <f>E40</f>
        <v>2916</v>
      </c>
      <c r="F72" s="185">
        <f>F40</f>
        <v>0</v>
      </c>
      <c r="G72" s="281">
        <f>G40</f>
        <v>1288</v>
      </c>
      <c r="H72" s="290"/>
    </row>
    <row r="73" spans="1:9" x14ac:dyDescent="0.2">
      <c r="A73" s="8">
        <v>4134</v>
      </c>
      <c r="B73" s="10">
        <v>6330</v>
      </c>
      <c r="C73" s="58" t="s">
        <v>31</v>
      </c>
      <c r="D73" s="66"/>
      <c r="E73" s="175"/>
      <c r="F73" s="129"/>
      <c r="G73" s="282"/>
      <c r="H73" s="237"/>
    </row>
    <row r="74" spans="1:9" x14ac:dyDescent="0.2">
      <c r="A74" s="26"/>
      <c r="B74" s="29"/>
      <c r="C74" s="61" t="s">
        <v>121</v>
      </c>
      <c r="D74" s="66">
        <f t="shared" ref="D74:G75" si="4">D42</f>
        <v>490</v>
      </c>
      <c r="E74" s="175">
        <f t="shared" si="4"/>
        <v>490</v>
      </c>
      <c r="F74" s="129">
        <f t="shared" si="4"/>
        <v>364504</v>
      </c>
      <c r="G74" s="282">
        <f t="shared" si="4"/>
        <v>490</v>
      </c>
      <c r="H74" s="237"/>
    </row>
    <row r="75" spans="1:9" x14ac:dyDescent="0.2">
      <c r="A75" s="26"/>
      <c r="B75" s="29"/>
      <c r="C75" s="61" t="s">
        <v>58</v>
      </c>
      <c r="D75" s="66">
        <f t="shared" si="4"/>
        <v>0</v>
      </c>
      <c r="E75" s="175">
        <f t="shared" si="4"/>
        <v>2500</v>
      </c>
      <c r="F75" s="129">
        <f t="shared" si="4"/>
        <v>0</v>
      </c>
      <c r="G75" s="282">
        <f t="shared" si="4"/>
        <v>0</v>
      </c>
      <c r="H75" s="237"/>
    </row>
    <row r="76" spans="1:9" x14ac:dyDescent="0.2">
      <c r="A76" s="26"/>
      <c r="B76" s="29"/>
      <c r="C76" s="58" t="s">
        <v>332</v>
      </c>
      <c r="D76" s="66">
        <f t="shared" ref="D76:F77" si="5">D44</f>
        <v>0</v>
      </c>
      <c r="E76" s="66">
        <f t="shared" si="5"/>
        <v>46586.5</v>
      </c>
      <c r="F76" s="214">
        <f t="shared" si="5"/>
        <v>46586500</v>
      </c>
      <c r="G76" s="282">
        <v>0</v>
      </c>
      <c r="H76" s="237"/>
    </row>
    <row r="77" spans="1:9" x14ac:dyDescent="0.2">
      <c r="A77" s="8">
        <v>4139</v>
      </c>
      <c r="B77" s="10">
        <v>6330</v>
      </c>
      <c r="C77" s="58" t="s">
        <v>122</v>
      </c>
      <c r="D77" s="66">
        <f t="shared" si="5"/>
        <v>476</v>
      </c>
      <c r="E77" s="175">
        <f t="shared" si="5"/>
        <v>476</v>
      </c>
      <c r="F77" s="129">
        <f t="shared" si="5"/>
        <v>349945</v>
      </c>
      <c r="G77" s="282">
        <f>G45</f>
        <v>490</v>
      </c>
      <c r="H77" s="237"/>
    </row>
    <row r="78" spans="1:9" ht="30" x14ac:dyDescent="0.2">
      <c r="A78" s="8">
        <v>4137</v>
      </c>
      <c r="B78" s="45">
        <v>6330</v>
      </c>
      <c r="C78" s="62" t="s">
        <v>152</v>
      </c>
      <c r="D78" s="66">
        <f>SUM(D46:D61)</f>
        <v>65464.700000000004</v>
      </c>
      <c r="E78" s="66">
        <f t="shared" ref="E78:F78" si="6">SUM(E46:E61)</f>
        <v>82750.999999999985</v>
      </c>
      <c r="F78" s="66">
        <f t="shared" si="6"/>
        <v>82723155.899999991</v>
      </c>
      <c r="G78" s="282">
        <f>SUM(G46:G47)</f>
        <v>86937.4</v>
      </c>
      <c r="H78" s="237"/>
    </row>
    <row r="79" spans="1:9" x14ac:dyDescent="0.2">
      <c r="A79" s="8">
        <v>4251</v>
      </c>
      <c r="B79" s="10">
        <v>6330</v>
      </c>
      <c r="C79" s="58" t="s">
        <v>118</v>
      </c>
      <c r="D79" s="66">
        <v>0</v>
      </c>
      <c r="E79" s="175">
        <f>SUM(E64:E66)</f>
        <v>64000</v>
      </c>
      <c r="F79" s="118">
        <f>SUM(F64:F66)</f>
        <v>64000000</v>
      </c>
      <c r="G79" s="282">
        <v>0</v>
      </c>
      <c r="H79" s="237"/>
      <c r="I79" s="86"/>
    </row>
    <row r="80" spans="1:9" ht="32.25" thickBot="1" x14ac:dyDescent="0.3">
      <c r="A80" s="99"/>
      <c r="B80" s="100"/>
      <c r="C80" s="142" t="s">
        <v>73</v>
      </c>
      <c r="D80" s="188">
        <f>SUM(D72:D79)</f>
        <v>69346.700000000012</v>
      </c>
      <c r="E80" s="189">
        <f>SUM(E72:E79)</f>
        <v>199719.5</v>
      </c>
      <c r="F80" s="190">
        <f>SUM(F72:F79)</f>
        <v>194024104.89999998</v>
      </c>
      <c r="G80" s="283">
        <f>SUM(G72:G79)</f>
        <v>89205.4</v>
      </c>
      <c r="H80" s="288">
        <f>G80</f>
        <v>89205.4</v>
      </c>
    </row>
    <row r="81" spans="1:8" ht="16.5" thickBot="1" x14ac:dyDescent="0.3">
      <c r="A81" s="42"/>
      <c r="B81" s="42"/>
      <c r="C81" s="65"/>
      <c r="D81" s="93"/>
      <c r="E81" s="93"/>
      <c r="F81" s="191"/>
      <c r="G81" s="93"/>
      <c r="H81" s="93"/>
    </row>
    <row r="82" spans="1:8" ht="36" customHeight="1" thickBot="1" x14ac:dyDescent="0.3">
      <c r="A82" s="43"/>
      <c r="B82" s="22"/>
      <c r="C82" s="143" t="s">
        <v>76</v>
      </c>
      <c r="D82" s="79">
        <f>D69-D80</f>
        <v>86056.299999999988</v>
      </c>
      <c r="E82" s="178">
        <f>E69-E80</f>
        <v>137268.09999999998</v>
      </c>
      <c r="F82" s="212">
        <f>F69-F80</f>
        <v>85665795.569999993</v>
      </c>
      <c r="G82" s="284">
        <f>G69-G80</f>
        <v>79326.600000000006</v>
      </c>
      <c r="H82" s="240">
        <f>G82</f>
        <v>79326.600000000006</v>
      </c>
    </row>
    <row r="83" spans="1:8" ht="16.5" thickBot="1" x14ac:dyDescent="0.3">
      <c r="C83" s="20"/>
      <c r="D83" s="183"/>
      <c r="F83" s="21"/>
      <c r="G83" s="93"/>
      <c r="H83" s="93"/>
    </row>
    <row r="84" spans="1:8" ht="19.5" customHeight="1" thickBot="1" x14ac:dyDescent="0.3">
      <c r="A84" s="17"/>
      <c r="B84" s="22"/>
      <c r="C84" s="144" t="s">
        <v>123</v>
      </c>
      <c r="D84" s="79">
        <f>D78+D79</f>
        <v>65464.700000000004</v>
      </c>
      <c r="E84" s="178">
        <f>E78+E79</f>
        <v>146751</v>
      </c>
      <c r="F84" s="212">
        <f>F78+F79</f>
        <v>146723155.89999998</v>
      </c>
      <c r="G84" s="284">
        <f>G78+G79</f>
        <v>86937.4</v>
      </c>
      <c r="H84" s="240">
        <f>G84</f>
        <v>86937.4</v>
      </c>
    </row>
    <row r="85" spans="1:8" ht="16.5" thickBot="1" x14ac:dyDescent="0.3">
      <c r="D85" s="153"/>
      <c r="F85" s="21"/>
      <c r="G85" s="93"/>
      <c r="H85" s="93"/>
    </row>
    <row r="86" spans="1:8" ht="19.5" customHeight="1" thickBot="1" x14ac:dyDescent="0.3">
      <c r="A86" s="18"/>
      <c r="B86" s="19"/>
      <c r="C86" s="101" t="s">
        <v>91</v>
      </c>
      <c r="D86" s="136">
        <f>SUM(D82:D84)</f>
        <v>151521</v>
      </c>
      <c r="E86" s="179">
        <f>SUM(E82:E84)</f>
        <v>284019.09999999998</v>
      </c>
      <c r="F86" s="137">
        <f t="shared" ref="F86" si="7">SUM(F82:F84)</f>
        <v>232388951.46999997</v>
      </c>
      <c r="G86" s="285">
        <f>SUM(G82:G84)</f>
        <v>166264</v>
      </c>
      <c r="H86" s="291">
        <f>G86</f>
        <v>166264</v>
      </c>
    </row>
    <row r="87" spans="1:8" s="5" customFormat="1" ht="15.75" x14ac:dyDescent="0.25">
      <c r="A87" s="296" t="s">
        <v>415</v>
      </c>
      <c r="B87" s="297"/>
      <c r="C87" s="297"/>
      <c r="D87" s="297"/>
      <c r="E87" s="297"/>
      <c r="F87" s="297"/>
      <c r="G87" s="161"/>
      <c r="H87" s="163"/>
    </row>
    <row r="88" spans="1:8" s="5" customFormat="1" ht="24.75" customHeight="1" x14ac:dyDescent="0.2">
      <c r="A88" s="298"/>
      <c r="B88" s="298"/>
      <c r="C88" s="298"/>
      <c r="D88" s="298"/>
      <c r="E88" s="298"/>
      <c r="F88" s="298"/>
      <c r="G88" s="162"/>
      <c r="H88" s="86"/>
    </row>
    <row r="89" spans="1:8" s="5" customFormat="1" ht="12.75" customHeight="1" x14ac:dyDescent="0.2">
      <c r="A89" s="298"/>
      <c r="B89" s="298"/>
      <c r="C89" s="298"/>
      <c r="D89" s="298"/>
      <c r="E89" s="298"/>
      <c r="F89" s="298"/>
      <c r="G89" s="162"/>
      <c r="H89" s="86"/>
    </row>
    <row r="90" spans="1:8" s="5" customFormat="1" ht="12.75" customHeight="1" x14ac:dyDescent="0.2">
      <c r="A90" s="298"/>
      <c r="B90" s="298"/>
      <c r="C90" s="298"/>
      <c r="D90" s="298"/>
      <c r="E90" s="298"/>
      <c r="F90" s="298"/>
      <c r="G90" s="162"/>
      <c r="H90" s="86"/>
    </row>
    <row r="91" spans="1:8" s="5" customFormat="1" ht="12" customHeight="1" x14ac:dyDescent="0.2">
      <c r="A91" s="298"/>
      <c r="B91" s="298"/>
      <c r="C91" s="298"/>
      <c r="D91" s="298"/>
      <c r="E91" s="298"/>
      <c r="F91" s="298"/>
      <c r="G91" s="162"/>
      <c r="H91" s="86"/>
    </row>
    <row r="92" spans="1:8" s="5" customFormat="1" ht="3.75" hidden="1" customHeight="1" x14ac:dyDescent="0.2">
      <c r="A92" s="298"/>
      <c r="B92" s="298"/>
      <c r="C92" s="298"/>
      <c r="D92" s="298"/>
      <c r="E92" s="298"/>
      <c r="F92" s="298"/>
      <c r="G92" s="162"/>
      <c r="H92" s="86"/>
    </row>
    <row r="93" spans="1:8" s="5" customFormat="1" x14ac:dyDescent="0.2">
      <c r="A93" s="158"/>
      <c r="B93" s="158"/>
      <c r="C93" s="158"/>
      <c r="D93" s="81"/>
      <c r="E93" s="77"/>
      <c r="F93" s="108"/>
      <c r="G93" s="162"/>
      <c r="H93" s="86"/>
    </row>
    <row r="94" spans="1:8" s="5" customFormat="1" x14ac:dyDescent="0.25">
      <c r="A94" s="299" t="s">
        <v>352</v>
      </c>
      <c r="B94" s="300"/>
      <c r="C94" s="300"/>
      <c r="D94" s="300"/>
      <c r="E94" s="300"/>
      <c r="F94" s="300"/>
      <c r="G94" s="295"/>
      <c r="H94" s="86"/>
    </row>
    <row r="95" spans="1:8" ht="15.75" x14ac:dyDescent="0.25">
      <c r="A95" s="87"/>
      <c r="B95" s="87"/>
      <c r="C95" s="299" t="s">
        <v>402</v>
      </c>
      <c r="D95" s="299"/>
      <c r="E95" s="299"/>
      <c r="F95" s="299"/>
      <c r="G95" s="162"/>
    </row>
    <row r="96" spans="1:8" x14ac:dyDescent="0.2">
      <c r="A96" s="87"/>
      <c r="B96" s="87"/>
      <c r="C96" s="292" t="s">
        <v>403</v>
      </c>
      <c r="D96" s="292"/>
      <c r="E96" s="292"/>
      <c r="F96" s="292"/>
      <c r="G96" s="162"/>
    </row>
    <row r="97" spans="1:8" s="9" customFormat="1" ht="15.75" x14ac:dyDescent="0.25">
      <c r="A97" s="87"/>
      <c r="B97" s="87"/>
      <c r="C97" s="293" t="s">
        <v>132</v>
      </c>
      <c r="D97" s="293"/>
      <c r="E97" s="293"/>
      <c r="F97" s="293"/>
      <c r="G97" s="162"/>
      <c r="H97" s="86"/>
    </row>
    <row r="98" spans="1:8" x14ac:dyDescent="0.2">
      <c r="G98" s="162"/>
    </row>
    <row r="99" spans="1:8" x14ac:dyDescent="0.2">
      <c r="G99" s="162"/>
    </row>
    <row r="100" spans="1:8" ht="15.75" x14ac:dyDescent="0.25">
      <c r="G100" s="163"/>
    </row>
    <row r="101" spans="1:8" x14ac:dyDescent="0.2">
      <c r="G101" s="162"/>
    </row>
    <row r="102" spans="1:8" ht="15.75" x14ac:dyDescent="0.25">
      <c r="G102" s="164"/>
    </row>
  </sheetData>
  <mergeCells count="8">
    <mergeCell ref="C96:F96"/>
    <mergeCell ref="C97:F97"/>
    <mergeCell ref="A2:H2"/>
    <mergeCell ref="A1:H1"/>
    <mergeCell ref="A3:H3"/>
    <mergeCell ref="A87:F92"/>
    <mergeCell ref="A94:G94"/>
    <mergeCell ref="C95:F95"/>
  </mergeCells>
  <hyperlinks>
    <hyperlink ref="C96" r:id="rId1" display="http://www.praha-kunratice.cz/"/>
  </hyperlinks>
  <pageMargins left="0.70866141732283472" right="0.70866141732283472" top="0.78740157480314965" bottom="0.78740157480314965" header="0.31496062992125984" footer="0.31496062992125984"/>
  <pageSetup paperSize="9" scale="75" fitToWidth="21" fitToHeight="21" orientation="landscape" r:id="rId2"/>
  <headerFooter>
    <oddFooter>Stránka 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440"/>
  <sheetViews>
    <sheetView tabSelected="1" topLeftCell="A252" zoomScale="98" zoomScaleNormal="98" workbookViewId="0">
      <selection activeCell="C263" sqref="C263"/>
    </sheetView>
  </sheetViews>
  <sheetFormatPr defaultRowHeight="15" x14ac:dyDescent="0.2"/>
  <cols>
    <col min="1" max="1" width="9" style="13" customWidth="1"/>
    <col min="2" max="2" width="8.5703125" style="13" customWidth="1"/>
    <col min="3" max="3" width="86.28515625" style="12" customWidth="1"/>
    <col min="4" max="4" width="12.5703125" style="80" customWidth="1"/>
    <col min="5" max="5" width="11.42578125" style="80" customWidth="1"/>
    <col min="6" max="6" width="17.85546875" style="11" customWidth="1"/>
    <col min="7" max="7" width="13.7109375" style="11" customWidth="1"/>
    <col min="8" max="8" width="14.5703125" style="160" customWidth="1"/>
    <col min="9" max="9" width="15" style="251" customWidth="1"/>
    <col min="10" max="10" width="7" style="251" customWidth="1"/>
    <col min="11" max="11" width="6.7109375" style="252" customWidth="1"/>
    <col min="12" max="12" width="6.5703125" style="252" customWidth="1"/>
    <col min="13" max="59" width="9.140625" style="252"/>
    <col min="60" max="16384" width="9.140625" style="166"/>
  </cols>
  <sheetData>
    <row r="1" spans="1:59" ht="18" x14ac:dyDescent="0.25">
      <c r="A1" s="294" t="s">
        <v>64</v>
      </c>
      <c r="B1" s="294"/>
      <c r="C1" s="294"/>
      <c r="D1" s="294"/>
      <c r="E1" s="294"/>
      <c r="F1" s="294"/>
      <c r="G1" s="295"/>
      <c r="H1" s="295"/>
    </row>
    <row r="2" spans="1:59" ht="18" x14ac:dyDescent="0.25">
      <c r="A2" s="294" t="s">
        <v>353</v>
      </c>
      <c r="B2" s="294"/>
      <c r="C2" s="294"/>
      <c r="D2" s="294"/>
      <c r="E2" s="294"/>
      <c r="F2" s="294"/>
      <c r="G2" s="295"/>
      <c r="H2" s="295"/>
    </row>
    <row r="3" spans="1:59" ht="18" x14ac:dyDescent="0.25">
      <c r="A3" s="294" t="s">
        <v>411</v>
      </c>
      <c r="B3" s="294"/>
      <c r="C3" s="294"/>
      <c r="D3" s="294"/>
      <c r="E3" s="294"/>
      <c r="F3" s="294"/>
      <c r="G3" s="295"/>
      <c r="H3" s="295"/>
    </row>
    <row r="4" spans="1:59" ht="15.75" thickBot="1" x14ac:dyDescent="0.25">
      <c r="A4" s="23"/>
      <c r="B4" s="23"/>
      <c r="C4" s="14"/>
      <c r="D4" s="78"/>
      <c r="E4" s="78"/>
    </row>
    <row r="5" spans="1:59" s="1" customFormat="1" ht="15.75" x14ac:dyDescent="0.25">
      <c r="A5" s="15" t="s">
        <v>0</v>
      </c>
      <c r="B5" s="16" t="s">
        <v>1</v>
      </c>
      <c r="C5" s="147" t="s">
        <v>32</v>
      </c>
      <c r="D5" s="96" t="s">
        <v>269</v>
      </c>
      <c r="E5" s="96" t="s">
        <v>270</v>
      </c>
      <c r="F5" s="109" t="s">
        <v>99</v>
      </c>
      <c r="G5" s="226" t="s">
        <v>355</v>
      </c>
      <c r="H5" s="197" t="s">
        <v>355</v>
      </c>
      <c r="I5" s="253"/>
      <c r="J5" s="253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  <c r="AA5" s="254"/>
      <c r="AB5" s="254"/>
      <c r="AC5" s="254"/>
      <c r="AD5" s="254"/>
      <c r="AE5" s="254"/>
      <c r="AF5" s="254"/>
      <c r="AG5" s="254"/>
      <c r="AH5" s="254"/>
      <c r="AI5" s="254"/>
      <c r="AJ5" s="254"/>
      <c r="AK5" s="254"/>
      <c r="AL5" s="254"/>
      <c r="AM5" s="254"/>
      <c r="AN5" s="254"/>
      <c r="AO5" s="254"/>
      <c r="AP5" s="254"/>
      <c r="AQ5" s="254"/>
      <c r="AR5" s="254"/>
      <c r="AS5" s="254"/>
      <c r="AT5" s="254"/>
      <c r="AU5" s="254"/>
      <c r="AV5" s="254"/>
      <c r="AW5" s="254"/>
      <c r="AX5" s="254"/>
      <c r="AY5" s="254"/>
      <c r="AZ5" s="254"/>
      <c r="BA5" s="254"/>
      <c r="BB5" s="254"/>
      <c r="BC5" s="254"/>
      <c r="BD5" s="254"/>
      <c r="BE5" s="254"/>
      <c r="BF5" s="254"/>
      <c r="BG5" s="254"/>
    </row>
    <row r="6" spans="1:59" ht="16.5" thickBot="1" x14ac:dyDescent="0.3">
      <c r="A6" s="126"/>
      <c r="B6" s="127"/>
      <c r="C6" s="139" t="s">
        <v>2</v>
      </c>
      <c r="D6" s="145" t="s">
        <v>3</v>
      </c>
      <c r="E6" s="145" t="s">
        <v>3</v>
      </c>
      <c r="F6" s="128" t="s">
        <v>400</v>
      </c>
      <c r="G6" s="227" t="s">
        <v>375</v>
      </c>
      <c r="H6" s="198" t="s">
        <v>375</v>
      </c>
    </row>
    <row r="7" spans="1:59" s="167" customFormat="1" ht="15.75" x14ac:dyDescent="0.25">
      <c r="A7" s="192">
        <v>2212</v>
      </c>
      <c r="B7" s="193"/>
      <c r="C7" s="194" t="s">
        <v>7</v>
      </c>
      <c r="D7" s="195"/>
      <c r="E7" s="195"/>
      <c r="F7" s="220"/>
      <c r="G7" s="228"/>
      <c r="H7" s="229"/>
      <c r="I7" s="255"/>
      <c r="J7" s="255"/>
      <c r="K7" s="256"/>
      <c r="L7" s="256"/>
      <c r="M7" s="256"/>
      <c r="N7" s="256"/>
      <c r="O7" s="256"/>
      <c r="P7" s="256"/>
      <c r="Q7" s="256"/>
      <c r="R7" s="256"/>
      <c r="S7" s="256"/>
      <c r="T7" s="256"/>
      <c r="U7" s="256"/>
      <c r="V7" s="256"/>
      <c r="W7" s="256"/>
      <c r="X7" s="256"/>
      <c r="Y7" s="256"/>
      <c r="Z7" s="256"/>
      <c r="AA7" s="256"/>
      <c r="AB7" s="256"/>
      <c r="AC7" s="256"/>
      <c r="AD7" s="256"/>
      <c r="AE7" s="256"/>
      <c r="AF7" s="256"/>
      <c r="AG7" s="256"/>
      <c r="AH7" s="256"/>
      <c r="AI7" s="256"/>
      <c r="AJ7" s="256"/>
      <c r="AK7" s="256"/>
      <c r="AL7" s="256"/>
      <c r="AM7" s="256"/>
      <c r="AN7" s="256"/>
      <c r="AO7" s="256"/>
      <c r="AP7" s="256"/>
      <c r="AQ7" s="256"/>
      <c r="AR7" s="256"/>
      <c r="AS7" s="256"/>
      <c r="AT7" s="256"/>
      <c r="AU7" s="256"/>
      <c r="AV7" s="256"/>
      <c r="AW7" s="256"/>
      <c r="AX7" s="256"/>
      <c r="AY7" s="256"/>
      <c r="AZ7" s="256"/>
      <c r="BA7" s="256"/>
      <c r="BB7" s="256"/>
      <c r="BC7" s="256"/>
      <c r="BD7" s="256"/>
      <c r="BE7" s="256"/>
      <c r="BF7" s="256"/>
      <c r="BG7" s="256"/>
    </row>
    <row r="8" spans="1:59" x14ac:dyDescent="0.2">
      <c r="A8" s="47">
        <v>2212</v>
      </c>
      <c r="B8" s="48">
        <v>5021</v>
      </c>
      <c r="C8" s="46" t="s">
        <v>17</v>
      </c>
      <c r="D8" s="66">
        <v>230</v>
      </c>
      <c r="E8" s="66">
        <v>230</v>
      </c>
      <c r="F8" s="129">
        <v>213959</v>
      </c>
      <c r="G8" s="231">
        <v>258</v>
      </c>
      <c r="H8" s="237"/>
    </row>
    <row r="9" spans="1:59" x14ac:dyDescent="0.2">
      <c r="A9" s="47">
        <v>2212</v>
      </c>
      <c r="B9" s="48">
        <v>5031</v>
      </c>
      <c r="C9" s="46" t="s">
        <v>129</v>
      </c>
      <c r="D9" s="66">
        <v>48</v>
      </c>
      <c r="E9" s="66">
        <v>48</v>
      </c>
      <c r="F9" s="129">
        <v>35847</v>
      </c>
      <c r="G9" s="231">
        <v>52</v>
      </c>
      <c r="H9" s="237"/>
    </row>
    <row r="10" spans="1:59" x14ac:dyDescent="0.2">
      <c r="A10" s="47">
        <v>2212</v>
      </c>
      <c r="B10" s="48">
        <v>5032</v>
      </c>
      <c r="C10" s="46" t="s">
        <v>33</v>
      </c>
      <c r="D10" s="66">
        <v>18</v>
      </c>
      <c r="E10" s="66">
        <v>18</v>
      </c>
      <c r="F10" s="129">
        <v>13003</v>
      </c>
      <c r="G10" s="231">
        <v>20</v>
      </c>
      <c r="H10" s="237"/>
    </row>
    <row r="11" spans="1:59" x14ac:dyDescent="0.2">
      <c r="A11" s="47">
        <v>2212</v>
      </c>
      <c r="B11" s="48">
        <v>5132</v>
      </c>
      <c r="C11" s="46" t="s">
        <v>120</v>
      </c>
      <c r="D11" s="66">
        <v>3</v>
      </c>
      <c r="E11" s="66">
        <v>3</v>
      </c>
      <c r="F11" s="129">
        <v>2648</v>
      </c>
      <c r="G11" s="231">
        <v>3</v>
      </c>
      <c r="H11" s="237"/>
    </row>
    <row r="12" spans="1:59" x14ac:dyDescent="0.2">
      <c r="A12" s="47">
        <v>2212</v>
      </c>
      <c r="B12" s="48">
        <v>5134</v>
      </c>
      <c r="C12" s="46" t="s">
        <v>155</v>
      </c>
      <c r="D12" s="66">
        <v>5</v>
      </c>
      <c r="E12" s="66">
        <v>5</v>
      </c>
      <c r="F12" s="129">
        <v>9484</v>
      </c>
      <c r="G12" s="231">
        <v>5</v>
      </c>
      <c r="H12" s="237"/>
    </row>
    <row r="13" spans="1:59" ht="30" x14ac:dyDescent="0.2">
      <c r="A13" s="47">
        <v>2212</v>
      </c>
      <c r="B13" s="48">
        <v>5137</v>
      </c>
      <c r="C13" s="46" t="s">
        <v>239</v>
      </c>
      <c r="D13" s="66">
        <v>30</v>
      </c>
      <c r="E13" s="66">
        <v>30</v>
      </c>
      <c r="F13" s="129">
        <v>0</v>
      </c>
      <c r="G13" s="231">
        <v>30</v>
      </c>
      <c r="H13" s="237"/>
    </row>
    <row r="14" spans="1:59" ht="30" x14ac:dyDescent="0.2">
      <c r="A14" s="47">
        <v>2212</v>
      </c>
      <c r="B14" s="48">
        <v>5139</v>
      </c>
      <c r="C14" s="46" t="s">
        <v>103</v>
      </c>
      <c r="D14" s="66">
        <v>100</v>
      </c>
      <c r="E14" s="66">
        <v>100</v>
      </c>
      <c r="F14" s="129">
        <v>11252</v>
      </c>
      <c r="G14" s="231">
        <v>100</v>
      </c>
      <c r="H14" s="237"/>
    </row>
    <row r="15" spans="1:59" ht="30" x14ac:dyDescent="0.2">
      <c r="A15" s="47">
        <v>2212</v>
      </c>
      <c r="B15" s="48">
        <v>5154</v>
      </c>
      <c r="C15" s="46" t="s">
        <v>156</v>
      </c>
      <c r="D15" s="66">
        <v>35</v>
      </c>
      <c r="E15" s="66">
        <v>35</v>
      </c>
      <c r="F15" s="129">
        <v>6443.04</v>
      </c>
      <c r="G15" s="231">
        <v>10</v>
      </c>
      <c r="H15" s="237"/>
    </row>
    <row r="16" spans="1:59" x14ac:dyDescent="0.2">
      <c r="A16" s="47">
        <v>2212</v>
      </c>
      <c r="B16" s="48">
        <v>5156</v>
      </c>
      <c r="C16" s="46" t="s">
        <v>21</v>
      </c>
      <c r="D16" s="66">
        <v>15</v>
      </c>
      <c r="E16" s="66">
        <v>15</v>
      </c>
      <c r="F16" s="129">
        <v>3471.34</v>
      </c>
      <c r="G16" s="231">
        <v>10</v>
      </c>
      <c r="H16" s="237"/>
    </row>
    <row r="17" spans="1:9" ht="30" x14ac:dyDescent="0.2">
      <c r="A17" s="47">
        <v>2212</v>
      </c>
      <c r="B17" s="48">
        <v>5164</v>
      </c>
      <c r="C17" s="46" t="s">
        <v>185</v>
      </c>
      <c r="D17" s="66">
        <v>5</v>
      </c>
      <c r="E17" s="66">
        <v>5</v>
      </c>
      <c r="F17" s="129">
        <v>0</v>
      </c>
      <c r="G17" s="231">
        <v>0</v>
      </c>
      <c r="H17" s="237"/>
    </row>
    <row r="18" spans="1:9" ht="30" x14ac:dyDescent="0.2">
      <c r="A18" s="47">
        <v>2212</v>
      </c>
      <c r="B18" s="48">
        <v>5169</v>
      </c>
      <c r="C18" s="46" t="s">
        <v>98</v>
      </c>
      <c r="D18" s="66">
        <v>1100</v>
      </c>
      <c r="E18" s="66">
        <v>1100</v>
      </c>
      <c r="F18" s="129">
        <f>63935+23788.6+121120+28788.65+16673.8+84626+46282+34031</f>
        <v>419245.05</v>
      </c>
      <c r="G18" s="231">
        <v>1100</v>
      </c>
      <c r="H18" s="237"/>
    </row>
    <row r="19" spans="1:9" ht="45" x14ac:dyDescent="0.2">
      <c r="A19" s="47">
        <v>2212</v>
      </c>
      <c r="B19" s="48">
        <v>5169</v>
      </c>
      <c r="C19" s="46" t="s">
        <v>110</v>
      </c>
      <c r="D19" s="66">
        <v>150</v>
      </c>
      <c r="E19" s="66">
        <f>150+121</f>
        <v>271</v>
      </c>
      <c r="F19" s="129">
        <f>2500+143000+50565.9+14883+3000</f>
        <v>213948.9</v>
      </c>
      <c r="G19" s="231">
        <v>250</v>
      </c>
      <c r="H19" s="237"/>
    </row>
    <row r="20" spans="1:9" ht="110.25" customHeight="1" x14ac:dyDescent="0.2">
      <c r="A20" s="47">
        <v>2212</v>
      </c>
      <c r="B20" s="48">
        <v>5169</v>
      </c>
      <c r="C20" s="46" t="s">
        <v>344</v>
      </c>
      <c r="D20" s="66">
        <v>900</v>
      </c>
      <c r="E20" s="66">
        <v>900</v>
      </c>
      <c r="F20" s="129">
        <f>3605.8+28919+415344.6+9670.5+2000</f>
        <v>459539.89999999997</v>
      </c>
      <c r="G20" s="231">
        <v>900</v>
      </c>
      <c r="H20" s="237"/>
    </row>
    <row r="21" spans="1:9" ht="45" x14ac:dyDescent="0.2">
      <c r="A21" s="47">
        <v>2212</v>
      </c>
      <c r="B21" s="48">
        <v>5169</v>
      </c>
      <c r="C21" s="46" t="s">
        <v>413</v>
      </c>
      <c r="D21" s="66">
        <f t="shared" ref="D21:E21" si="0">200+200</f>
        <v>400</v>
      </c>
      <c r="E21" s="66">
        <f t="shared" si="0"/>
        <v>400</v>
      </c>
      <c r="F21" s="129">
        <f>138618.57+44044+9740.5</f>
        <v>192403.07</v>
      </c>
      <c r="G21" s="231">
        <f>200+150</f>
        <v>350</v>
      </c>
      <c r="H21" s="237"/>
    </row>
    <row r="22" spans="1:9" ht="30" customHeight="1" x14ac:dyDescent="0.25">
      <c r="A22" s="49"/>
      <c r="B22" s="50"/>
      <c r="C22" s="157" t="s">
        <v>378</v>
      </c>
      <c r="D22" s="66"/>
      <c r="E22" s="66"/>
      <c r="F22" s="129"/>
      <c r="G22" s="231"/>
      <c r="H22" s="237"/>
      <c r="I22" s="257"/>
    </row>
    <row r="23" spans="1:9" ht="18" customHeight="1" x14ac:dyDescent="0.25">
      <c r="A23" s="49"/>
      <c r="B23" s="50"/>
      <c r="C23" s="157" t="s">
        <v>414</v>
      </c>
      <c r="D23" s="66"/>
      <c r="E23" s="66"/>
      <c r="F23" s="129"/>
      <c r="G23" s="231"/>
      <c r="H23" s="237"/>
    </row>
    <row r="24" spans="1:9" x14ac:dyDescent="0.2">
      <c r="A24" s="47">
        <v>2212</v>
      </c>
      <c r="B24" s="48">
        <v>5171</v>
      </c>
      <c r="C24" s="46" t="s">
        <v>209</v>
      </c>
      <c r="D24" s="66">
        <v>500</v>
      </c>
      <c r="E24" s="66">
        <v>500</v>
      </c>
      <c r="F24" s="129">
        <v>350000</v>
      </c>
      <c r="G24" s="231">
        <v>500</v>
      </c>
      <c r="H24" s="237"/>
    </row>
    <row r="25" spans="1:9" ht="30" x14ac:dyDescent="0.2">
      <c r="A25" s="47"/>
      <c r="B25" s="48"/>
      <c r="C25" s="46" t="s">
        <v>379</v>
      </c>
      <c r="D25" s="66">
        <v>350</v>
      </c>
      <c r="E25" s="66">
        <f>350+532+195</f>
        <v>1077</v>
      </c>
      <c r="F25" s="129">
        <f>532037+194810+22360.8+5762+60614.7+200831</f>
        <v>1016415.5</v>
      </c>
      <c r="G25" s="231">
        <v>550</v>
      </c>
      <c r="H25" s="237"/>
    </row>
    <row r="26" spans="1:9" ht="30" x14ac:dyDescent="0.2">
      <c r="A26" s="47"/>
      <c r="B26" s="48"/>
      <c r="C26" s="46" t="s">
        <v>188</v>
      </c>
      <c r="D26" s="66">
        <v>200</v>
      </c>
      <c r="E26" s="66">
        <v>200</v>
      </c>
      <c r="F26" s="129">
        <v>0</v>
      </c>
      <c r="G26" s="231">
        <v>200</v>
      </c>
      <c r="H26" s="237"/>
    </row>
    <row r="27" spans="1:9" x14ac:dyDescent="0.2">
      <c r="A27" s="47"/>
      <c r="B27" s="48"/>
      <c r="C27" s="46" t="s">
        <v>210</v>
      </c>
      <c r="D27" s="66">
        <v>50</v>
      </c>
      <c r="E27" s="66">
        <v>50</v>
      </c>
      <c r="F27" s="129">
        <f>18936.5+28718.14</f>
        <v>47654.64</v>
      </c>
      <c r="G27" s="231">
        <v>50</v>
      </c>
      <c r="H27" s="237"/>
    </row>
    <row r="28" spans="1:9" x14ac:dyDescent="0.2">
      <c r="A28" s="47"/>
      <c r="B28" s="48">
        <v>5171</v>
      </c>
      <c r="C28" s="46" t="s">
        <v>360</v>
      </c>
      <c r="D28" s="66"/>
      <c r="E28" s="66"/>
      <c r="F28" s="129"/>
      <c r="G28" s="231">
        <v>1300</v>
      </c>
      <c r="H28" s="237"/>
      <c r="I28" s="258"/>
    </row>
    <row r="29" spans="1:9" ht="30" x14ac:dyDescent="0.2">
      <c r="A29" s="47"/>
      <c r="B29" s="48"/>
      <c r="C29" s="46" t="s">
        <v>361</v>
      </c>
      <c r="D29" s="66"/>
      <c r="E29" s="66"/>
      <c r="F29" s="129"/>
      <c r="G29" s="231">
        <v>700</v>
      </c>
      <c r="H29" s="237"/>
      <c r="I29" s="257"/>
    </row>
    <row r="30" spans="1:9" ht="21.75" customHeight="1" x14ac:dyDescent="0.25">
      <c r="A30" s="49"/>
      <c r="B30" s="50"/>
      <c r="C30" s="203" t="s">
        <v>405</v>
      </c>
      <c r="D30" s="66"/>
      <c r="E30" s="66"/>
      <c r="F30" s="129"/>
      <c r="G30" s="231"/>
      <c r="H30" s="237"/>
    </row>
    <row r="31" spans="1:9" ht="21.75" customHeight="1" x14ac:dyDescent="0.25">
      <c r="A31" s="49"/>
      <c r="B31" s="50"/>
      <c r="C31" s="203" t="s">
        <v>397</v>
      </c>
      <c r="D31" s="66"/>
      <c r="E31" s="66"/>
      <c r="F31" s="129"/>
      <c r="G31" s="231"/>
      <c r="H31" s="237"/>
    </row>
    <row r="32" spans="1:9" ht="15.75" x14ac:dyDescent="0.25">
      <c r="A32" s="47"/>
      <c r="B32" s="48"/>
      <c r="C32" s="56" t="s">
        <v>153</v>
      </c>
      <c r="D32" s="66"/>
      <c r="E32" s="66"/>
      <c r="F32" s="129"/>
      <c r="G32" s="231"/>
      <c r="H32" s="237"/>
    </row>
    <row r="33" spans="1:59" ht="15.75" x14ac:dyDescent="0.25">
      <c r="A33" s="47">
        <v>2212</v>
      </c>
      <c r="B33" s="48">
        <v>6121</v>
      </c>
      <c r="C33" s="56" t="s">
        <v>94</v>
      </c>
      <c r="D33" s="66"/>
      <c r="E33" s="66"/>
      <c r="F33" s="129"/>
      <c r="G33" s="231"/>
      <c r="H33" s="237"/>
    </row>
    <row r="34" spans="1:59" s="2" customFormat="1" x14ac:dyDescent="0.2">
      <c r="A34" s="47"/>
      <c r="B34" s="48"/>
      <c r="C34" s="71" t="s">
        <v>275</v>
      </c>
      <c r="D34" s="103">
        <v>132</v>
      </c>
      <c r="E34" s="103">
        <v>132</v>
      </c>
      <c r="F34" s="134">
        <f>54450+49000+10000</f>
        <v>113450</v>
      </c>
      <c r="G34" s="231"/>
      <c r="H34" s="237"/>
      <c r="I34" s="258"/>
      <c r="J34" s="258"/>
      <c r="K34" s="259"/>
      <c r="L34" s="259"/>
      <c r="M34" s="259"/>
      <c r="N34" s="259"/>
      <c r="O34" s="259"/>
      <c r="P34" s="259"/>
      <c r="Q34" s="259"/>
      <c r="R34" s="259"/>
      <c r="S34" s="259"/>
      <c r="T34" s="259"/>
      <c r="U34" s="259"/>
      <c r="V34" s="259"/>
      <c r="W34" s="259"/>
      <c r="X34" s="259"/>
      <c r="Y34" s="259"/>
      <c r="Z34" s="259"/>
      <c r="AA34" s="259"/>
      <c r="AB34" s="259"/>
      <c r="AC34" s="259"/>
      <c r="AD34" s="259"/>
      <c r="AE34" s="259"/>
      <c r="AF34" s="259"/>
      <c r="AG34" s="259"/>
      <c r="AH34" s="259"/>
      <c r="AI34" s="259"/>
      <c r="AJ34" s="259"/>
      <c r="AK34" s="259"/>
      <c r="AL34" s="259"/>
      <c r="AM34" s="259"/>
      <c r="AN34" s="259"/>
      <c r="AO34" s="259"/>
      <c r="AP34" s="259"/>
      <c r="AQ34" s="259"/>
      <c r="AR34" s="259"/>
      <c r="AS34" s="259"/>
      <c r="AT34" s="259"/>
      <c r="AU34" s="259"/>
      <c r="AV34" s="259"/>
      <c r="AW34" s="259"/>
      <c r="AX34" s="259"/>
      <c r="AY34" s="259"/>
      <c r="AZ34" s="259"/>
      <c r="BA34" s="259"/>
      <c r="BB34" s="259"/>
      <c r="BC34" s="259"/>
      <c r="BD34" s="259"/>
      <c r="BE34" s="259"/>
      <c r="BF34" s="259"/>
      <c r="BG34" s="259"/>
    </row>
    <row r="35" spans="1:59" s="2" customFormat="1" ht="30" x14ac:dyDescent="0.2">
      <c r="A35" s="47"/>
      <c r="B35" s="48"/>
      <c r="C35" s="71" t="s">
        <v>236</v>
      </c>
      <c r="D35" s="103">
        <v>475</v>
      </c>
      <c r="E35" s="103">
        <v>475</v>
      </c>
      <c r="F35" s="134">
        <v>0</v>
      </c>
      <c r="G35" s="230">
        <v>475</v>
      </c>
      <c r="H35" s="237"/>
      <c r="I35" s="258"/>
      <c r="J35" s="258"/>
      <c r="K35" s="259"/>
      <c r="L35" s="259"/>
      <c r="M35" s="259"/>
      <c r="N35" s="259"/>
      <c r="O35" s="259"/>
      <c r="P35" s="259"/>
      <c r="Q35" s="259"/>
      <c r="R35" s="259"/>
      <c r="S35" s="259"/>
      <c r="T35" s="259"/>
      <c r="U35" s="259"/>
      <c r="V35" s="259"/>
      <c r="W35" s="259"/>
      <c r="X35" s="259"/>
      <c r="Y35" s="259"/>
      <c r="Z35" s="259"/>
      <c r="AA35" s="259"/>
      <c r="AB35" s="259"/>
      <c r="AC35" s="259"/>
      <c r="AD35" s="259"/>
      <c r="AE35" s="259"/>
      <c r="AF35" s="259"/>
      <c r="AG35" s="259"/>
      <c r="AH35" s="259"/>
      <c r="AI35" s="259"/>
      <c r="AJ35" s="259"/>
      <c r="AK35" s="259"/>
      <c r="AL35" s="259"/>
      <c r="AM35" s="259"/>
      <c r="AN35" s="259"/>
      <c r="AO35" s="259"/>
      <c r="AP35" s="259"/>
      <c r="AQ35" s="259"/>
      <c r="AR35" s="259"/>
      <c r="AS35" s="259"/>
      <c r="AT35" s="259"/>
      <c r="AU35" s="259"/>
      <c r="AV35" s="259"/>
      <c r="AW35" s="259"/>
      <c r="AX35" s="259"/>
      <c r="AY35" s="259"/>
      <c r="AZ35" s="259"/>
      <c r="BA35" s="259"/>
      <c r="BB35" s="259"/>
      <c r="BC35" s="259"/>
      <c r="BD35" s="259"/>
      <c r="BE35" s="259"/>
      <c r="BF35" s="259"/>
      <c r="BG35" s="259"/>
    </row>
    <row r="36" spans="1:59" s="2" customFormat="1" ht="15.75" x14ac:dyDescent="0.25">
      <c r="A36" s="47">
        <v>2212</v>
      </c>
      <c r="B36" s="48">
        <v>6121</v>
      </c>
      <c r="C36" s="56" t="s">
        <v>101</v>
      </c>
      <c r="D36" s="66"/>
      <c r="E36" s="66"/>
      <c r="F36" s="129"/>
      <c r="G36" s="231"/>
      <c r="H36" s="237"/>
      <c r="I36" s="258"/>
      <c r="J36" s="258"/>
      <c r="K36" s="259"/>
      <c r="L36" s="259"/>
      <c r="M36" s="259"/>
      <c r="N36" s="259"/>
      <c r="O36" s="259"/>
      <c r="P36" s="259"/>
      <c r="Q36" s="259"/>
      <c r="R36" s="259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259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</row>
    <row r="37" spans="1:59" s="2" customFormat="1" ht="15.75" x14ac:dyDescent="0.25">
      <c r="A37" s="47"/>
      <c r="B37" s="48"/>
      <c r="C37" s="199" t="s">
        <v>241</v>
      </c>
      <c r="D37" s="172"/>
      <c r="E37" s="172"/>
      <c r="F37" s="221"/>
      <c r="G37" s="231"/>
      <c r="H37" s="237"/>
      <c r="I37" s="258"/>
      <c r="J37" s="258"/>
      <c r="K37" s="259"/>
      <c r="L37" s="259"/>
      <c r="M37" s="259"/>
      <c r="N37" s="259"/>
      <c r="O37" s="259"/>
      <c r="P37" s="259"/>
      <c r="Q37" s="259"/>
      <c r="R37" s="259"/>
      <c r="S37" s="259"/>
      <c r="T37" s="259"/>
      <c r="U37" s="259"/>
      <c r="V37" s="259"/>
      <c r="W37" s="259"/>
      <c r="X37" s="259"/>
      <c r="Y37" s="259"/>
      <c r="Z37" s="259"/>
      <c r="AA37" s="259"/>
      <c r="AB37" s="259"/>
      <c r="AC37" s="259"/>
      <c r="AD37" s="259"/>
      <c r="AE37" s="259"/>
      <c r="AF37" s="259"/>
      <c r="AG37" s="259"/>
      <c r="AH37" s="259"/>
      <c r="AI37" s="259"/>
      <c r="AJ37" s="259"/>
      <c r="AK37" s="259"/>
      <c r="AL37" s="259"/>
      <c r="AM37" s="259"/>
      <c r="AN37" s="259"/>
      <c r="AO37" s="259"/>
      <c r="AP37" s="259"/>
      <c r="AQ37" s="259"/>
      <c r="AR37" s="259"/>
      <c r="AS37" s="259"/>
      <c r="AT37" s="259"/>
      <c r="AU37" s="259"/>
      <c r="AV37" s="259"/>
      <c r="AW37" s="259"/>
      <c r="AX37" s="259"/>
      <c r="AY37" s="259"/>
      <c r="AZ37" s="259"/>
      <c r="BA37" s="259"/>
      <c r="BB37" s="259"/>
      <c r="BC37" s="259"/>
      <c r="BD37" s="259"/>
      <c r="BE37" s="259"/>
      <c r="BF37" s="259"/>
      <c r="BG37" s="259"/>
    </row>
    <row r="38" spans="1:59" s="2" customFormat="1" ht="30" x14ac:dyDescent="0.2">
      <c r="A38" s="47"/>
      <c r="B38" s="48"/>
      <c r="C38" s="71" t="s">
        <v>343</v>
      </c>
      <c r="D38" s="103">
        <v>1822</v>
      </c>
      <c r="E38" s="103">
        <v>1822</v>
      </c>
      <c r="F38" s="134">
        <f>680625+226875</f>
        <v>907500</v>
      </c>
      <c r="G38" s="230">
        <v>915</v>
      </c>
      <c r="H38" s="237"/>
      <c r="I38" s="245"/>
      <c r="J38" s="258"/>
      <c r="K38" s="259"/>
      <c r="L38" s="259"/>
      <c r="M38" s="259"/>
      <c r="N38" s="259"/>
      <c r="O38" s="259"/>
      <c r="P38" s="259"/>
      <c r="Q38" s="259"/>
      <c r="R38" s="259"/>
      <c r="S38" s="259"/>
      <c r="T38" s="259"/>
      <c r="U38" s="259"/>
      <c r="V38" s="259"/>
      <c r="W38" s="259"/>
      <c r="X38" s="259"/>
      <c r="Y38" s="259"/>
      <c r="Z38" s="259"/>
      <c r="AA38" s="259"/>
      <c r="AB38" s="259"/>
      <c r="AC38" s="259"/>
      <c r="AD38" s="259"/>
      <c r="AE38" s="259"/>
      <c r="AF38" s="259"/>
      <c r="AG38" s="259"/>
      <c r="AH38" s="259"/>
      <c r="AI38" s="259"/>
      <c r="AJ38" s="259"/>
      <c r="AK38" s="259"/>
      <c r="AL38" s="259"/>
      <c r="AM38" s="259"/>
      <c r="AN38" s="259"/>
      <c r="AO38" s="259"/>
      <c r="AP38" s="259"/>
      <c r="AQ38" s="259"/>
      <c r="AR38" s="259"/>
      <c r="AS38" s="259"/>
      <c r="AT38" s="259"/>
      <c r="AU38" s="259"/>
      <c r="AV38" s="259"/>
      <c r="AW38" s="259"/>
      <c r="AX38" s="259"/>
      <c r="AY38" s="259"/>
      <c r="AZ38" s="259"/>
      <c r="BA38" s="259"/>
      <c r="BB38" s="259"/>
      <c r="BC38" s="259"/>
      <c r="BD38" s="259"/>
      <c r="BE38" s="259"/>
      <c r="BF38" s="259"/>
      <c r="BG38" s="259"/>
    </row>
    <row r="39" spans="1:59" s="2" customFormat="1" x14ac:dyDescent="0.2">
      <c r="A39" s="47"/>
      <c r="B39" s="48"/>
      <c r="C39" s="71" t="s">
        <v>276</v>
      </c>
      <c r="D39" s="103">
        <v>3000</v>
      </c>
      <c r="E39" s="103">
        <v>3000</v>
      </c>
      <c r="F39" s="134">
        <f>2868748.07+121000</f>
        <v>2989748.07</v>
      </c>
      <c r="G39" s="230">
        <v>0</v>
      </c>
      <c r="H39" s="237"/>
      <c r="I39" s="258"/>
      <c r="J39" s="258"/>
      <c r="K39" s="259"/>
      <c r="L39" s="259"/>
      <c r="M39" s="259"/>
      <c r="N39" s="259"/>
      <c r="O39" s="259"/>
      <c r="P39" s="259"/>
      <c r="Q39" s="259"/>
      <c r="R39" s="259"/>
      <c r="S39" s="259"/>
      <c r="T39" s="259"/>
      <c r="U39" s="259"/>
      <c r="V39" s="259"/>
      <c r="W39" s="259"/>
      <c r="X39" s="259"/>
      <c r="Y39" s="259"/>
      <c r="Z39" s="259"/>
      <c r="AA39" s="259"/>
      <c r="AB39" s="259"/>
      <c r="AC39" s="259"/>
      <c r="AD39" s="259"/>
      <c r="AE39" s="259"/>
      <c r="AF39" s="259"/>
      <c r="AG39" s="259"/>
      <c r="AH39" s="259"/>
      <c r="AI39" s="259"/>
      <c r="AJ39" s="259"/>
      <c r="AK39" s="259"/>
      <c r="AL39" s="259"/>
      <c r="AM39" s="259"/>
      <c r="AN39" s="259"/>
      <c r="AO39" s="259"/>
      <c r="AP39" s="259"/>
      <c r="AQ39" s="259"/>
      <c r="AR39" s="259"/>
      <c r="AS39" s="259"/>
      <c r="AT39" s="259"/>
      <c r="AU39" s="259"/>
      <c r="AV39" s="259"/>
      <c r="AW39" s="259"/>
      <c r="AX39" s="259"/>
      <c r="AY39" s="259"/>
      <c r="AZ39" s="259"/>
      <c r="BA39" s="259"/>
      <c r="BB39" s="259"/>
      <c r="BC39" s="259"/>
      <c r="BD39" s="259"/>
      <c r="BE39" s="259"/>
      <c r="BF39" s="259"/>
      <c r="BG39" s="259"/>
    </row>
    <row r="40" spans="1:59" s="2" customFormat="1" x14ac:dyDescent="0.2">
      <c r="A40" s="47"/>
      <c r="B40" s="48"/>
      <c r="C40" s="71" t="s">
        <v>227</v>
      </c>
      <c r="D40" s="103">
        <v>1200</v>
      </c>
      <c r="E40" s="103">
        <v>1200</v>
      </c>
      <c r="F40" s="134"/>
      <c r="G40" s="230">
        <v>1200</v>
      </c>
      <c r="H40" s="237"/>
      <c r="I40" s="258"/>
      <c r="J40" s="258"/>
      <c r="K40" s="259"/>
      <c r="L40" s="259"/>
      <c r="M40" s="259"/>
      <c r="N40" s="259"/>
      <c r="O40" s="259"/>
      <c r="P40" s="259"/>
      <c r="Q40" s="259"/>
      <c r="R40" s="259"/>
      <c r="S40" s="259"/>
      <c r="T40" s="259"/>
      <c r="U40" s="259"/>
      <c r="V40" s="259"/>
      <c r="W40" s="259"/>
      <c r="X40" s="259"/>
      <c r="Y40" s="259"/>
      <c r="Z40" s="259"/>
      <c r="AA40" s="259"/>
      <c r="AB40" s="259"/>
      <c r="AC40" s="259"/>
      <c r="AD40" s="259"/>
      <c r="AE40" s="259"/>
      <c r="AF40" s="259"/>
      <c r="AG40" s="259"/>
      <c r="AH40" s="259"/>
      <c r="AI40" s="259"/>
      <c r="AJ40" s="259"/>
      <c r="AK40" s="259"/>
      <c r="AL40" s="259"/>
      <c r="AM40" s="259"/>
      <c r="AN40" s="259"/>
      <c r="AO40" s="259"/>
      <c r="AP40" s="259"/>
      <c r="AQ40" s="259"/>
      <c r="AR40" s="259"/>
      <c r="AS40" s="259"/>
      <c r="AT40" s="259"/>
      <c r="AU40" s="259"/>
      <c r="AV40" s="259"/>
      <c r="AW40" s="259"/>
      <c r="AX40" s="259"/>
      <c r="AY40" s="259"/>
      <c r="AZ40" s="259"/>
      <c r="BA40" s="259"/>
      <c r="BB40" s="259"/>
      <c r="BC40" s="259"/>
      <c r="BD40" s="259"/>
      <c r="BE40" s="259"/>
      <c r="BF40" s="259"/>
      <c r="BG40" s="259"/>
    </row>
    <row r="41" spans="1:59" s="200" customFormat="1" ht="15.75" x14ac:dyDescent="0.25">
      <c r="A41" s="169">
        <v>2212</v>
      </c>
      <c r="B41" s="170">
        <v>6121</v>
      </c>
      <c r="C41" s="199" t="s">
        <v>356</v>
      </c>
      <c r="D41" s="172"/>
      <c r="E41" s="172"/>
      <c r="F41" s="221"/>
      <c r="G41" s="232"/>
      <c r="H41" s="238"/>
      <c r="I41" s="260"/>
      <c r="J41" s="260"/>
      <c r="K41" s="261"/>
      <c r="L41" s="261"/>
      <c r="M41" s="261"/>
      <c r="N41" s="261"/>
      <c r="O41" s="261"/>
      <c r="P41" s="261"/>
      <c r="Q41" s="261"/>
      <c r="R41" s="261"/>
      <c r="S41" s="261"/>
      <c r="T41" s="261"/>
      <c r="U41" s="261"/>
      <c r="V41" s="261"/>
      <c r="W41" s="261"/>
      <c r="X41" s="261"/>
      <c r="Y41" s="261"/>
      <c r="Z41" s="261"/>
      <c r="AA41" s="261"/>
      <c r="AB41" s="261"/>
      <c r="AC41" s="261"/>
      <c r="AD41" s="261"/>
      <c r="AE41" s="261"/>
      <c r="AF41" s="261"/>
      <c r="AG41" s="261"/>
      <c r="AH41" s="261"/>
      <c r="AI41" s="261"/>
      <c r="AJ41" s="261"/>
      <c r="AK41" s="261"/>
      <c r="AL41" s="261"/>
      <c r="AM41" s="261"/>
      <c r="AN41" s="261"/>
      <c r="AO41" s="261"/>
      <c r="AP41" s="261"/>
      <c r="AQ41" s="261"/>
      <c r="AR41" s="261"/>
      <c r="AS41" s="261"/>
      <c r="AT41" s="261"/>
      <c r="AU41" s="261"/>
      <c r="AV41" s="261"/>
      <c r="AW41" s="261"/>
      <c r="AX41" s="261"/>
      <c r="AY41" s="261"/>
      <c r="AZ41" s="261"/>
      <c r="BA41" s="261"/>
      <c r="BB41" s="261"/>
      <c r="BC41" s="261"/>
      <c r="BD41" s="261"/>
      <c r="BE41" s="261"/>
      <c r="BF41" s="261"/>
      <c r="BG41" s="261"/>
    </row>
    <row r="42" spans="1:59" s="2" customFormat="1" x14ac:dyDescent="0.2">
      <c r="A42" s="47"/>
      <c r="B42" s="48"/>
      <c r="C42" s="71" t="s">
        <v>243</v>
      </c>
      <c r="D42" s="103">
        <v>12000</v>
      </c>
      <c r="E42" s="103">
        <v>12000</v>
      </c>
      <c r="F42" s="134">
        <f>17545+9000+2141700+12638+84700+6314884.17+31951</f>
        <v>8612418.1699999999</v>
      </c>
      <c r="G42" s="230">
        <v>115</v>
      </c>
      <c r="H42" s="237"/>
      <c r="I42" s="258"/>
      <c r="J42" s="258"/>
      <c r="K42" s="259"/>
      <c r="L42" s="259"/>
      <c r="M42" s="259"/>
      <c r="N42" s="259"/>
      <c r="O42" s="259"/>
      <c r="P42" s="259"/>
      <c r="Q42" s="259"/>
      <c r="R42" s="259"/>
      <c r="S42" s="259"/>
      <c r="T42" s="259"/>
      <c r="U42" s="259"/>
      <c r="V42" s="259"/>
      <c r="W42" s="259"/>
      <c r="X42" s="259"/>
      <c r="Y42" s="259"/>
      <c r="Z42" s="259"/>
      <c r="AA42" s="259"/>
      <c r="AB42" s="259"/>
      <c r="AC42" s="259"/>
      <c r="AD42" s="259"/>
      <c r="AE42" s="259"/>
      <c r="AF42" s="259"/>
      <c r="AG42" s="259"/>
      <c r="AH42" s="259"/>
      <c r="AI42" s="259"/>
      <c r="AJ42" s="259"/>
      <c r="AK42" s="259"/>
      <c r="AL42" s="259"/>
      <c r="AM42" s="259"/>
      <c r="AN42" s="259"/>
      <c r="AO42" s="259"/>
      <c r="AP42" s="259"/>
      <c r="AQ42" s="259"/>
      <c r="AR42" s="259"/>
      <c r="AS42" s="259"/>
      <c r="AT42" s="259"/>
      <c r="AU42" s="259"/>
      <c r="AV42" s="259"/>
      <c r="AW42" s="259"/>
      <c r="AX42" s="259"/>
      <c r="AY42" s="259"/>
      <c r="AZ42" s="259"/>
      <c r="BA42" s="259"/>
      <c r="BB42" s="259"/>
      <c r="BC42" s="259"/>
      <c r="BD42" s="259"/>
      <c r="BE42" s="259"/>
      <c r="BF42" s="259"/>
      <c r="BG42" s="259"/>
    </row>
    <row r="43" spans="1:59" s="2" customFormat="1" x14ac:dyDescent="0.2">
      <c r="A43" s="47"/>
      <c r="B43" s="48"/>
      <c r="C43" s="71" t="s">
        <v>328</v>
      </c>
      <c r="D43" s="103">
        <v>2500</v>
      </c>
      <c r="E43" s="103">
        <v>2500</v>
      </c>
      <c r="F43" s="134">
        <v>1167650</v>
      </c>
      <c r="G43" s="230">
        <v>1335</v>
      </c>
      <c r="H43" s="237"/>
      <c r="I43" s="258"/>
      <c r="J43" s="258"/>
      <c r="K43" s="259"/>
      <c r="L43" s="259"/>
      <c r="M43" s="259"/>
      <c r="N43" s="259"/>
      <c r="O43" s="259"/>
      <c r="P43" s="259"/>
      <c r="Q43" s="259"/>
      <c r="R43" s="259"/>
      <c r="S43" s="259"/>
      <c r="T43" s="259"/>
      <c r="U43" s="259"/>
      <c r="V43" s="259"/>
      <c r="W43" s="259"/>
      <c r="X43" s="259"/>
      <c r="Y43" s="259"/>
      <c r="Z43" s="259"/>
      <c r="AA43" s="259"/>
      <c r="AB43" s="259"/>
      <c r="AC43" s="259"/>
      <c r="AD43" s="259"/>
      <c r="AE43" s="259"/>
      <c r="AF43" s="259"/>
      <c r="AG43" s="259"/>
      <c r="AH43" s="259"/>
      <c r="AI43" s="259"/>
      <c r="AJ43" s="259"/>
      <c r="AK43" s="259"/>
      <c r="AL43" s="259"/>
      <c r="AM43" s="259"/>
      <c r="AN43" s="259"/>
      <c r="AO43" s="259"/>
      <c r="AP43" s="259"/>
      <c r="AQ43" s="259"/>
      <c r="AR43" s="259"/>
      <c r="AS43" s="259"/>
      <c r="AT43" s="259"/>
      <c r="AU43" s="259"/>
      <c r="AV43" s="259"/>
      <c r="AW43" s="259"/>
      <c r="AX43" s="259"/>
      <c r="AY43" s="259"/>
      <c r="AZ43" s="259"/>
      <c r="BA43" s="259"/>
      <c r="BB43" s="259"/>
      <c r="BC43" s="259"/>
      <c r="BD43" s="259"/>
      <c r="BE43" s="259"/>
      <c r="BF43" s="259"/>
      <c r="BG43" s="259"/>
    </row>
    <row r="44" spans="1:59" s="2" customFormat="1" x14ac:dyDescent="0.2">
      <c r="A44" s="47"/>
      <c r="B44" s="48"/>
      <c r="C44" s="71" t="s">
        <v>244</v>
      </c>
      <c r="D44" s="103">
        <v>650</v>
      </c>
      <c r="E44" s="103">
        <f>650-532</f>
        <v>118</v>
      </c>
      <c r="F44" s="134"/>
      <c r="G44" s="230">
        <v>0</v>
      </c>
      <c r="H44" s="237"/>
      <c r="I44" s="258"/>
      <c r="J44" s="258"/>
      <c r="K44" s="259"/>
      <c r="L44" s="259"/>
      <c r="M44" s="259"/>
      <c r="N44" s="259"/>
      <c r="O44" s="259"/>
      <c r="P44" s="259"/>
      <c r="Q44" s="259"/>
      <c r="R44" s="259"/>
      <c r="S44" s="259"/>
      <c r="T44" s="259"/>
      <c r="U44" s="259"/>
      <c r="V44" s="259"/>
      <c r="W44" s="259"/>
      <c r="X44" s="259"/>
      <c r="Y44" s="259"/>
      <c r="Z44" s="259"/>
      <c r="AA44" s="259"/>
      <c r="AB44" s="259"/>
      <c r="AC44" s="259"/>
      <c r="AD44" s="259"/>
      <c r="AE44" s="259"/>
      <c r="AF44" s="259"/>
      <c r="AG44" s="259"/>
      <c r="AH44" s="259"/>
      <c r="AI44" s="259"/>
      <c r="AJ44" s="259"/>
      <c r="AK44" s="259"/>
      <c r="AL44" s="259"/>
      <c r="AM44" s="259"/>
      <c r="AN44" s="259"/>
      <c r="AO44" s="259"/>
      <c r="AP44" s="259"/>
      <c r="AQ44" s="259"/>
      <c r="AR44" s="259"/>
      <c r="AS44" s="259"/>
      <c r="AT44" s="259"/>
      <c r="AU44" s="259"/>
      <c r="AV44" s="259"/>
      <c r="AW44" s="259"/>
      <c r="AX44" s="259"/>
      <c r="AY44" s="259"/>
      <c r="AZ44" s="259"/>
      <c r="BA44" s="259"/>
      <c r="BB44" s="259"/>
      <c r="BC44" s="259"/>
      <c r="BD44" s="259"/>
      <c r="BE44" s="259"/>
      <c r="BF44" s="259"/>
      <c r="BG44" s="259"/>
    </row>
    <row r="45" spans="1:59" s="2" customFormat="1" x14ac:dyDescent="0.2">
      <c r="A45" s="47"/>
      <c r="B45" s="48"/>
      <c r="C45" s="71" t="s">
        <v>245</v>
      </c>
      <c r="D45" s="103">
        <v>1160</v>
      </c>
      <c r="E45" s="103">
        <v>1160</v>
      </c>
      <c r="F45" s="134">
        <v>598950</v>
      </c>
      <c r="G45" s="230">
        <v>561</v>
      </c>
      <c r="H45" s="237"/>
      <c r="I45" s="260"/>
      <c r="J45" s="258"/>
      <c r="K45" s="259"/>
      <c r="L45" s="259"/>
      <c r="M45" s="259"/>
      <c r="N45" s="259"/>
      <c r="O45" s="259"/>
      <c r="P45" s="259"/>
      <c r="Q45" s="259"/>
      <c r="R45" s="259"/>
      <c r="S45" s="259"/>
      <c r="T45" s="259"/>
      <c r="U45" s="259"/>
      <c r="V45" s="259"/>
      <c r="W45" s="259"/>
      <c r="X45" s="259"/>
      <c r="Y45" s="259"/>
      <c r="Z45" s="259"/>
      <c r="AA45" s="259"/>
      <c r="AB45" s="259"/>
      <c r="AC45" s="259"/>
      <c r="AD45" s="259"/>
      <c r="AE45" s="259"/>
      <c r="AF45" s="259"/>
      <c r="AG45" s="259"/>
      <c r="AH45" s="259"/>
      <c r="AI45" s="259"/>
      <c r="AJ45" s="259"/>
      <c r="AK45" s="259"/>
      <c r="AL45" s="259"/>
      <c r="AM45" s="259"/>
      <c r="AN45" s="259"/>
      <c r="AO45" s="259"/>
      <c r="AP45" s="259"/>
      <c r="AQ45" s="259"/>
      <c r="AR45" s="259"/>
      <c r="AS45" s="259"/>
      <c r="AT45" s="259"/>
      <c r="AU45" s="259"/>
      <c r="AV45" s="259"/>
      <c r="AW45" s="259"/>
      <c r="AX45" s="259"/>
      <c r="AY45" s="259"/>
      <c r="AZ45" s="259"/>
      <c r="BA45" s="259"/>
      <c r="BB45" s="259"/>
      <c r="BC45" s="259"/>
      <c r="BD45" s="259"/>
      <c r="BE45" s="259"/>
      <c r="BF45" s="259"/>
      <c r="BG45" s="259"/>
    </row>
    <row r="46" spans="1:59" s="2" customFormat="1" x14ac:dyDescent="0.2">
      <c r="A46" s="47"/>
      <c r="B46" s="48"/>
      <c r="C46" s="71" t="s">
        <v>246</v>
      </c>
      <c r="D46" s="103">
        <v>3000</v>
      </c>
      <c r="E46" s="103">
        <v>3000</v>
      </c>
      <c r="F46" s="134">
        <v>0</v>
      </c>
      <c r="G46" s="230">
        <v>3500</v>
      </c>
      <c r="H46" s="237"/>
      <c r="I46" s="258"/>
      <c r="J46" s="258"/>
      <c r="K46" s="259"/>
      <c r="L46" s="259"/>
      <c r="M46" s="259"/>
      <c r="N46" s="259"/>
      <c r="O46" s="259"/>
      <c r="P46" s="259"/>
      <c r="Q46" s="259"/>
      <c r="R46" s="259"/>
      <c r="S46" s="259"/>
      <c r="T46" s="259"/>
      <c r="U46" s="259"/>
      <c r="V46" s="259"/>
      <c r="W46" s="259"/>
      <c r="X46" s="259"/>
      <c r="Y46" s="259"/>
      <c r="Z46" s="259"/>
      <c r="AA46" s="259"/>
      <c r="AB46" s="259"/>
      <c r="AC46" s="259"/>
      <c r="AD46" s="259"/>
      <c r="AE46" s="259"/>
      <c r="AF46" s="259"/>
      <c r="AG46" s="259"/>
      <c r="AH46" s="259"/>
      <c r="AI46" s="259"/>
      <c r="AJ46" s="259"/>
      <c r="AK46" s="259"/>
      <c r="AL46" s="259"/>
      <c r="AM46" s="259"/>
      <c r="AN46" s="259"/>
      <c r="AO46" s="259"/>
      <c r="AP46" s="259"/>
      <c r="AQ46" s="259"/>
      <c r="AR46" s="259"/>
      <c r="AS46" s="259"/>
      <c r="AT46" s="259"/>
      <c r="AU46" s="259"/>
      <c r="AV46" s="259"/>
      <c r="AW46" s="259"/>
      <c r="AX46" s="259"/>
      <c r="AY46" s="259"/>
      <c r="AZ46" s="259"/>
      <c r="BA46" s="259"/>
      <c r="BB46" s="259"/>
      <c r="BC46" s="259"/>
      <c r="BD46" s="259"/>
      <c r="BE46" s="259"/>
      <c r="BF46" s="259"/>
      <c r="BG46" s="259"/>
    </row>
    <row r="47" spans="1:59" s="2" customFormat="1" x14ac:dyDescent="0.2">
      <c r="A47" s="47"/>
      <c r="B47" s="48"/>
      <c r="C47" s="71" t="s">
        <v>251</v>
      </c>
      <c r="D47" s="103">
        <v>4000</v>
      </c>
      <c r="E47" s="103">
        <v>4000</v>
      </c>
      <c r="F47" s="134"/>
      <c r="G47" s="230">
        <v>0</v>
      </c>
      <c r="H47" s="237"/>
      <c r="I47" s="258"/>
      <c r="J47" s="258"/>
      <c r="K47" s="259"/>
      <c r="L47" s="259"/>
      <c r="M47" s="259"/>
      <c r="N47" s="259"/>
      <c r="O47" s="259"/>
      <c r="P47" s="259"/>
      <c r="Q47" s="259"/>
      <c r="R47" s="259"/>
      <c r="S47" s="259"/>
      <c r="T47" s="259"/>
      <c r="U47" s="259"/>
      <c r="V47" s="259"/>
      <c r="W47" s="259"/>
      <c r="X47" s="259"/>
      <c r="Y47" s="259"/>
      <c r="Z47" s="259"/>
      <c r="AA47" s="259"/>
      <c r="AB47" s="259"/>
      <c r="AC47" s="259"/>
      <c r="AD47" s="259"/>
      <c r="AE47" s="259"/>
      <c r="AF47" s="259"/>
      <c r="AG47" s="259"/>
      <c r="AH47" s="259"/>
      <c r="AI47" s="259"/>
      <c r="AJ47" s="259"/>
      <c r="AK47" s="259"/>
      <c r="AL47" s="259"/>
      <c r="AM47" s="259"/>
      <c r="AN47" s="259"/>
      <c r="AO47" s="259"/>
      <c r="AP47" s="259"/>
      <c r="AQ47" s="259"/>
      <c r="AR47" s="259"/>
      <c r="AS47" s="259"/>
      <c r="AT47" s="259"/>
      <c r="AU47" s="259"/>
      <c r="AV47" s="259"/>
      <c r="AW47" s="259"/>
      <c r="AX47" s="259"/>
      <c r="AY47" s="259"/>
      <c r="AZ47" s="259"/>
      <c r="BA47" s="259"/>
      <c r="BB47" s="259"/>
      <c r="BC47" s="259"/>
      <c r="BD47" s="259"/>
      <c r="BE47" s="259"/>
      <c r="BF47" s="259"/>
      <c r="BG47" s="259"/>
    </row>
    <row r="48" spans="1:59" s="2" customFormat="1" x14ac:dyDescent="0.2">
      <c r="A48" s="47"/>
      <c r="B48" s="48"/>
      <c r="C48" s="71" t="s">
        <v>288</v>
      </c>
      <c r="D48" s="103">
        <v>0</v>
      </c>
      <c r="E48" s="103">
        <v>409</v>
      </c>
      <c r="F48" s="134">
        <v>408209</v>
      </c>
      <c r="G48" s="230">
        <v>0</v>
      </c>
      <c r="H48" s="237"/>
      <c r="I48" s="258"/>
      <c r="J48" s="258"/>
      <c r="K48" s="259"/>
      <c r="L48" s="259"/>
      <c r="M48" s="259"/>
      <c r="N48" s="259"/>
      <c r="O48" s="259"/>
      <c r="P48" s="259"/>
      <c r="Q48" s="259"/>
      <c r="R48" s="259"/>
      <c r="S48" s="259"/>
      <c r="T48" s="259"/>
      <c r="U48" s="259"/>
      <c r="V48" s="259"/>
      <c r="W48" s="259"/>
      <c r="X48" s="259"/>
      <c r="Y48" s="259"/>
      <c r="Z48" s="259"/>
      <c r="AA48" s="259"/>
      <c r="AB48" s="259"/>
      <c r="AC48" s="259"/>
      <c r="AD48" s="259"/>
      <c r="AE48" s="259"/>
      <c r="AF48" s="259"/>
      <c r="AG48" s="259"/>
      <c r="AH48" s="259"/>
      <c r="AI48" s="259"/>
      <c r="AJ48" s="259"/>
      <c r="AK48" s="259"/>
      <c r="AL48" s="259"/>
      <c r="AM48" s="259"/>
      <c r="AN48" s="259"/>
      <c r="AO48" s="259"/>
      <c r="AP48" s="259"/>
      <c r="AQ48" s="259"/>
      <c r="AR48" s="259"/>
      <c r="AS48" s="259"/>
      <c r="AT48" s="259"/>
      <c r="AU48" s="259"/>
      <c r="AV48" s="259"/>
      <c r="AW48" s="259"/>
      <c r="AX48" s="259"/>
      <c r="AY48" s="259"/>
      <c r="AZ48" s="259"/>
      <c r="BA48" s="259"/>
      <c r="BB48" s="259"/>
      <c r="BC48" s="259"/>
      <c r="BD48" s="259"/>
      <c r="BE48" s="259"/>
      <c r="BF48" s="259"/>
      <c r="BG48" s="259"/>
    </row>
    <row r="49" spans="1:59" s="2" customFormat="1" ht="15.75" x14ac:dyDescent="0.25">
      <c r="A49" s="47">
        <v>2212</v>
      </c>
      <c r="B49" s="48">
        <v>6121</v>
      </c>
      <c r="C49" s="199" t="s">
        <v>357</v>
      </c>
      <c r="D49" s="172"/>
      <c r="E49" s="172"/>
      <c r="F49" s="221"/>
      <c r="G49" s="232"/>
      <c r="H49" s="237"/>
      <c r="J49" s="258"/>
      <c r="K49" s="259"/>
      <c r="L49" s="259"/>
      <c r="M49" s="259"/>
      <c r="N49" s="259"/>
      <c r="O49" s="259"/>
      <c r="P49" s="259"/>
      <c r="Q49" s="259"/>
      <c r="R49" s="259"/>
      <c r="S49" s="259"/>
      <c r="T49" s="259"/>
      <c r="U49" s="259"/>
      <c r="V49" s="259"/>
      <c r="W49" s="259"/>
      <c r="X49" s="259"/>
      <c r="Y49" s="259"/>
      <c r="Z49" s="259"/>
      <c r="AA49" s="259"/>
      <c r="AB49" s="259"/>
      <c r="AC49" s="259"/>
      <c r="AD49" s="259"/>
      <c r="AE49" s="259"/>
      <c r="AF49" s="259"/>
      <c r="AG49" s="259"/>
      <c r="AH49" s="259"/>
      <c r="AI49" s="259"/>
      <c r="AJ49" s="259"/>
      <c r="AK49" s="259"/>
      <c r="AL49" s="259"/>
      <c r="AM49" s="259"/>
      <c r="AN49" s="259"/>
      <c r="AO49" s="259"/>
      <c r="AP49" s="259"/>
      <c r="AQ49" s="259"/>
      <c r="AR49" s="259"/>
      <c r="AS49" s="259"/>
      <c r="AT49" s="259"/>
      <c r="AU49" s="259"/>
      <c r="AV49" s="259"/>
      <c r="AW49" s="259"/>
      <c r="AX49" s="259"/>
      <c r="AY49" s="259"/>
      <c r="AZ49" s="259"/>
      <c r="BA49" s="259"/>
      <c r="BB49" s="259"/>
      <c r="BC49" s="259"/>
      <c r="BD49" s="259"/>
      <c r="BE49" s="259"/>
      <c r="BF49" s="259"/>
      <c r="BG49" s="259"/>
    </row>
    <row r="50" spans="1:59" s="2" customFormat="1" x14ac:dyDescent="0.2">
      <c r="A50" s="47"/>
      <c r="B50" s="48"/>
      <c r="C50" s="71" t="s">
        <v>358</v>
      </c>
      <c r="D50" s="103"/>
      <c r="E50" s="103"/>
      <c r="F50" s="134"/>
      <c r="G50" s="230">
        <v>3500</v>
      </c>
      <c r="H50" s="237"/>
      <c r="I50" s="258"/>
      <c r="J50" s="258"/>
      <c r="K50" s="259"/>
      <c r="L50" s="259"/>
      <c r="M50" s="259"/>
      <c r="N50" s="259"/>
      <c r="O50" s="259"/>
      <c r="P50" s="259"/>
      <c r="Q50" s="259"/>
      <c r="R50" s="259"/>
      <c r="S50" s="259"/>
      <c r="T50" s="259"/>
      <c r="U50" s="259"/>
      <c r="V50" s="259"/>
      <c r="W50" s="259"/>
      <c r="X50" s="259"/>
      <c r="Y50" s="259"/>
      <c r="Z50" s="259"/>
      <c r="AA50" s="259"/>
      <c r="AB50" s="259"/>
      <c r="AC50" s="259"/>
      <c r="AD50" s="259"/>
      <c r="AE50" s="259"/>
      <c r="AF50" s="259"/>
      <c r="AG50" s="259"/>
      <c r="AH50" s="259"/>
      <c r="AI50" s="259"/>
      <c r="AJ50" s="259"/>
      <c r="AK50" s="259"/>
      <c r="AL50" s="259"/>
      <c r="AM50" s="259"/>
      <c r="AN50" s="259"/>
      <c r="AO50" s="259"/>
      <c r="AP50" s="259"/>
      <c r="AQ50" s="259"/>
      <c r="AR50" s="259"/>
      <c r="AS50" s="259"/>
      <c r="AT50" s="259"/>
      <c r="AU50" s="259"/>
      <c r="AV50" s="259"/>
      <c r="AW50" s="259"/>
      <c r="AX50" s="259"/>
      <c r="AY50" s="259"/>
      <c r="AZ50" s="259"/>
      <c r="BA50" s="259"/>
      <c r="BB50" s="259"/>
      <c r="BC50" s="259"/>
      <c r="BD50" s="259"/>
      <c r="BE50" s="259"/>
      <c r="BF50" s="259"/>
      <c r="BG50" s="259"/>
    </row>
    <row r="51" spans="1:59" s="2" customFormat="1" x14ac:dyDescent="0.2">
      <c r="A51" s="47"/>
      <c r="B51" s="48"/>
      <c r="C51" s="71" t="s">
        <v>380</v>
      </c>
      <c r="D51" s="103"/>
      <c r="E51" s="103"/>
      <c r="F51" s="134"/>
      <c r="G51" s="230">
        <v>33000</v>
      </c>
      <c r="H51" s="237"/>
      <c r="I51" s="258"/>
      <c r="J51" s="258"/>
      <c r="K51" s="259"/>
      <c r="L51" s="259"/>
      <c r="M51" s="259"/>
      <c r="N51" s="259"/>
      <c r="O51" s="259"/>
      <c r="P51" s="259"/>
      <c r="Q51" s="259"/>
      <c r="R51" s="259"/>
      <c r="S51" s="259"/>
      <c r="T51" s="259"/>
      <c r="U51" s="259"/>
      <c r="V51" s="259"/>
      <c r="W51" s="259"/>
      <c r="X51" s="259"/>
      <c r="Y51" s="259"/>
      <c r="Z51" s="259"/>
      <c r="AA51" s="259"/>
      <c r="AB51" s="259"/>
      <c r="AC51" s="259"/>
      <c r="AD51" s="259"/>
      <c r="AE51" s="259"/>
      <c r="AF51" s="259"/>
      <c r="AG51" s="259"/>
      <c r="AH51" s="259"/>
      <c r="AI51" s="259"/>
      <c r="AJ51" s="259"/>
      <c r="AK51" s="259"/>
      <c r="AL51" s="259"/>
      <c r="AM51" s="259"/>
      <c r="AN51" s="259"/>
      <c r="AO51" s="259"/>
      <c r="AP51" s="259"/>
      <c r="AQ51" s="259"/>
      <c r="AR51" s="259"/>
      <c r="AS51" s="259"/>
      <c r="AT51" s="259"/>
      <c r="AU51" s="259"/>
      <c r="AV51" s="259"/>
      <c r="AW51" s="259"/>
      <c r="AX51" s="259"/>
      <c r="AY51" s="259"/>
      <c r="AZ51" s="259"/>
      <c r="BA51" s="259"/>
      <c r="BB51" s="259"/>
      <c r="BC51" s="259"/>
      <c r="BD51" s="259"/>
      <c r="BE51" s="259"/>
      <c r="BF51" s="259"/>
      <c r="BG51" s="259"/>
    </row>
    <row r="52" spans="1:59" s="2" customFormat="1" ht="30" x14ac:dyDescent="0.2">
      <c r="A52" s="47"/>
      <c r="B52" s="48"/>
      <c r="C52" s="71" t="s">
        <v>359</v>
      </c>
      <c r="D52" s="103"/>
      <c r="E52" s="103"/>
      <c r="F52" s="134"/>
      <c r="G52" s="230">
        <v>2000</v>
      </c>
      <c r="H52" s="237"/>
      <c r="I52" s="258"/>
      <c r="J52" s="258"/>
      <c r="K52" s="259"/>
      <c r="L52" s="259"/>
      <c r="M52" s="259"/>
      <c r="N52" s="259"/>
      <c r="O52" s="259"/>
      <c r="P52" s="259"/>
      <c r="Q52" s="259"/>
      <c r="R52" s="259"/>
      <c r="S52" s="259"/>
      <c r="T52" s="259"/>
      <c r="U52" s="259"/>
      <c r="V52" s="259"/>
      <c r="W52" s="259"/>
      <c r="X52" s="259"/>
      <c r="Y52" s="259"/>
      <c r="Z52" s="259"/>
      <c r="AA52" s="259"/>
      <c r="AB52" s="259"/>
      <c r="AC52" s="259"/>
      <c r="AD52" s="259"/>
      <c r="AE52" s="259"/>
      <c r="AF52" s="259"/>
      <c r="AG52" s="259"/>
      <c r="AH52" s="259"/>
      <c r="AI52" s="259"/>
      <c r="AJ52" s="259"/>
      <c r="AK52" s="259"/>
      <c r="AL52" s="259"/>
      <c r="AM52" s="259"/>
      <c r="AN52" s="259"/>
      <c r="AO52" s="259"/>
      <c r="AP52" s="259"/>
      <c r="AQ52" s="259"/>
      <c r="AR52" s="259"/>
      <c r="AS52" s="259"/>
      <c r="AT52" s="259"/>
      <c r="AU52" s="259"/>
      <c r="AV52" s="259"/>
      <c r="AW52" s="259"/>
      <c r="AX52" s="259"/>
      <c r="AY52" s="259"/>
      <c r="AZ52" s="259"/>
      <c r="BA52" s="259"/>
      <c r="BB52" s="259"/>
      <c r="BC52" s="259"/>
      <c r="BD52" s="259"/>
      <c r="BE52" s="259"/>
      <c r="BF52" s="259"/>
      <c r="BG52" s="259"/>
    </row>
    <row r="53" spans="1:59" s="2" customFormat="1" x14ac:dyDescent="0.2">
      <c r="A53" s="47"/>
      <c r="B53" s="48"/>
      <c r="C53" s="250"/>
      <c r="D53" s="172"/>
      <c r="E53" s="172"/>
      <c r="F53" s="221"/>
      <c r="G53" s="232"/>
      <c r="H53" s="237"/>
      <c r="I53" s="258"/>
      <c r="J53" s="258"/>
      <c r="K53" s="259"/>
      <c r="L53" s="259"/>
      <c r="M53" s="259"/>
      <c r="N53" s="259"/>
      <c r="O53" s="259"/>
      <c r="P53" s="259"/>
      <c r="Q53" s="259"/>
      <c r="R53" s="259"/>
      <c r="S53" s="259"/>
      <c r="T53" s="259"/>
      <c r="U53" s="259"/>
      <c r="V53" s="259"/>
      <c r="W53" s="259"/>
      <c r="X53" s="259"/>
      <c r="Y53" s="259"/>
      <c r="Z53" s="259"/>
      <c r="AA53" s="259"/>
      <c r="AB53" s="259"/>
      <c r="AC53" s="259"/>
      <c r="AD53" s="259"/>
      <c r="AE53" s="259"/>
      <c r="AF53" s="259"/>
      <c r="AG53" s="259"/>
      <c r="AH53" s="259"/>
      <c r="AI53" s="259"/>
      <c r="AJ53" s="259"/>
      <c r="AK53" s="259"/>
      <c r="AL53" s="259"/>
      <c r="AM53" s="259"/>
      <c r="AN53" s="259"/>
      <c r="AO53" s="259"/>
      <c r="AP53" s="259"/>
      <c r="AQ53" s="259"/>
      <c r="AR53" s="259"/>
      <c r="AS53" s="259"/>
      <c r="AT53" s="259"/>
      <c r="AU53" s="259"/>
      <c r="AV53" s="259"/>
      <c r="AW53" s="259"/>
      <c r="AX53" s="259"/>
      <c r="AY53" s="259"/>
      <c r="AZ53" s="259"/>
      <c r="BA53" s="259"/>
      <c r="BB53" s="259"/>
      <c r="BC53" s="259"/>
      <c r="BD53" s="259"/>
      <c r="BE53" s="259"/>
      <c r="BF53" s="259"/>
      <c r="BG53" s="259"/>
    </row>
    <row r="54" spans="1:59" s="2" customFormat="1" x14ac:dyDescent="0.2">
      <c r="A54" s="47">
        <v>2212</v>
      </c>
      <c r="B54" s="48">
        <v>6901</v>
      </c>
      <c r="C54" s="71" t="s">
        <v>247</v>
      </c>
      <c r="D54" s="103">
        <v>2000</v>
      </c>
      <c r="E54" s="103">
        <v>2000</v>
      </c>
      <c r="F54" s="134"/>
      <c r="G54" s="230">
        <v>2000</v>
      </c>
      <c r="H54" s="237"/>
      <c r="I54" s="258"/>
      <c r="J54" s="258"/>
      <c r="K54" s="259"/>
      <c r="L54" s="259"/>
      <c r="M54" s="259"/>
      <c r="N54" s="259"/>
      <c r="O54" s="259"/>
      <c r="P54" s="259"/>
      <c r="Q54" s="259"/>
      <c r="R54" s="259"/>
      <c r="S54" s="259"/>
      <c r="T54" s="259"/>
      <c r="U54" s="259"/>
      <c r="V54" s="259"/>
      <c r="W54" s="259"/>
      <c r="X54" s="259"/>
      <c r="Y54" s="259"/>
      <c r="Z54" s="259"/>
      <c r="AA54" s="259"/>
      <c r="AB54" s="259"/>
      <c r="AC54" s="259"/>
      <c r="AD54" s="259"/>
      <c r="AE54" s="259"/>
      <c r="AF54" s="259"/>
      <c r="AG54" s="259"/>
      <c r="AH54" s="259"/>
      <c r="AI54" s="259"/>
      <c r="AJ54" s="259"/>
      <c r="AK54" s="259"/>
      <c r="AL54" s="259"/>
      <c r="AM54" s="259"/>
      <c r="AN54" s="259"/>
      <c r="AO54" s="259"/>
      <c r="AP54" s="259"/>
      <c r="AQ54" s="259"/>
      <c r="AR54" s="259"/>
      <c r="AS54" s="259"/>
      <c r="AT54" s="259"/>
      <c r="AU54" s="259"/>
      <c r="AV54" s="259"/>
      <c r="AW54" s="259"/>
      <c r="AX54" s="259"/>
      <c r="AY54" s="259"/>
      <c r="AZ54" s="259"/>
      <c r="BA54" s="259"/>
      <c r="BB54" s="259"/>
      <c r="BC54" s="259"/>
      <c r="BD54" s="259"/>
      <c r="BE54" s="259"/>
      <c r="BF54" s="259"/>
      <c r="BG54" s="259"/>
    </row>
    <row r="55" spans="1:59" s="2" customFormat="1" ht="18" customHeight="1" x14ac:dyDescent="0.25">
      <c r="A55" s="47"/>
      <c r="B55" s="48"/>
      <c r="C55" s="173" t="s">
        <v>242</v>
      </c>
      <c r="D55" s="103"/>
      <c r="E55" s="103"/>
      <c r="F55" s="134"/>
      <c r="G55" s="230"/>
      <c r="H55" s="237"/>
      <c r="I55" s="258"/>
      <c r="J55" s="258"/>
      <c r="K55" s="259"/>
      <c r="L55" s="259"/>
      <c r="M55" s="259"/>
      <c r="N55" s="259"/>
      <c r="O55" s="259"/>
      <c r="P55" s="259"/>
      <c r="Q55" s="259"/>
      <c r="R55" s="259"/>
      <c r="S55" s="259"/>
      <c r="T55" s="259"/>
      <c r="U55" s="259"/>
      <c r="V55" s="259"/>
      <c r="W55" s="259"/>
      <c r="X55" s="259"/>
      <c r="Y55" s="259"/>
      <c r="Z55" s="259"/>
      <c r="AA55" s="259"/>
      <c r="AB55" s="259"/>
      <c r="AC55" s="259"/>
      <c r="AD55" s="259"/>
      <c r="AE55" s="259"/>
      <c r="AF55" s="259"/>
      <c r="AG55" s="259"/>
      <c r="AH55" s="259"/>
      <c r="AI55" s="259"/>
      <c r="AJ55" s="259"/>
      <c r="AK55" s="259"/>
      <c r="AL55" s="259"/>
      <c r="AM55" s="259"/>
      <c r="AN55" s="259"/>
      <c r="AO55" s="259"/>
      <c r="AP55" s="259"/>
      <c r="AQ55" s="259"/>
      <c r="AR55" s="259"/>
      <c r="AS55" s="259"/>
      <c r="AT55" s="259"/>
      <c r="AU55" s="259"/>
      <c r="AV55" s="259"/>
      <c r="AW55" s="259"/>
      <c r="AX55" s="259"/>
      <c r="AY55" s="259"/>
      <c r="AZ55" s="259"/>
      <c r="BA55" s="259"/>
      <c r="BB55" s="259"/>
      <c r="BC55" s="259"/>
      <c r="BD55" s="259"/>
      <c r="BE55" s="259"/>
      <c r="BF55" s="259"/>
      <c r="BG55" s="259"/>
    </row>
    <row r="56" spans="1:59" s="2" customFormat="1" ht="30" customHeight="1" x14ac:dyDescent="0.25">
      <c r="A56" s="47"/>
      <c r="B56" s="48"/>
      <c r="C56" s="71" t="s">
        <v>404</v>
      </c>
      <c r="D56" s="103"/>
      <c r="E56" s="103"/>
      <c r="F56" s="134"/>
      <c r="G56" s="230"/>
      <c r="H56" s="237"/>
      <c r="I56" s="258"/>
      <c r="J56" s="258"/>
      <c r="K56" s="259"/>
      <c r="L56" s="259"/>
      <c r="M56" s="259"/>
      <c r="N56" s="259"/>
      <c r="O56" s="259"/>
      <c r="P56" s="259"/>
      <c r="Q56" s="259"/>
      <c r="R56" s="259"/>
      <c r="S56" s="259"/>
      <c r="T56" s="259"/>
      <c r="U56" s="259"/>
      <c r="V56" s="259"/>
      <c r="W56" s="259"/>
      <c r="X56" s="259"/>
      <c r="Y56" s="259"/>
      <c r="Z56" s="259"/>
      <c r="AA56" s="259"/>
      <c r="AB56" s="259"/>
      <c r="AC56" s="259"/>
      <c r="AD56" s="259"/>
      <c r="AE56" s="259"/>
      <c r="AF56" s="259"/>
      <c r="AG56" s="259"/>
      <c r="AH56" s="259"/>
      <c r="AI56" s="259"/>
      <c r="AJ56" s="259"/>
      <c r="AK56" s="259"/>
      <c r="AL56" s="259"/>
      <c r="AM56" s="259"/>
      <c r="AN56" s="259"/>
      <c r="AO56" s="259"/>
      <c r="AP56" s="259"/>
      <c r="AQ56" s="259"/>
      <c r="AR56" s="259"/>
      <c r="AS56" s="259"/>
      <c r="AT56" s="259"/>
      <c r="AU56" s="259"/>
      <c r="AV56" s="259"/>
      <c r="AW56" s="259"/>
      <c r="AX56" s="259"/>
      <c r="AY56" s="259"/>
      <c r="AZ56" s="259"/>
      <c r="BA56" s="259"/>
      <c r="BB56" s="259"/>
      <c r="BC56" s="259"/>
      <c r="BD56" s="259"/>
      <c r="BE56" s="259"/>
      <c r="BF56" s="259"/>
      <c r="BG56" s="259"/>
    </row>
    <row r="57" spans="1:59" s="2" customFormat="1" ht="17.25" customHeight="1" x14ac:dyDescent="0.25">
      <c r="A57" s="47"/>
      <c r="B57" s="48"/>
      <c r="C57" s="71" t="s">
        <v>396</v>
      </c>
      <c r="D57" s="103"/>
      <c r="E57" s="103"/>
      <c r="F57" s="134"/>
      <c r="G57" s="230"/>
      <c r="H57" s="237"/>
      <c r="I57" s="258"/>
      <c r="J57" s="258"/>
      <c r="K57" s="259"/>
      <c r="L57" s="259"/>
      <c r="M57" s="259"/>
      <c r="N57" s="259"/>
      <c r="O57" s="259"/>
      <c r="P57" s="259"/>
      <c r="Q57" s="259"/>
      <c r="R57" s="259"/>
      <c r="S57" s="259"/>
      <c r="T57" s="259"/>
      <c r="U57" s="259"/>
      <c r="V57" s="259"/>
      <c r="W57" s="259"/>
      <c r="X57" s="259"/>
      <c r="Y57" s="259"/>
      <c r="Z57" s="259"/>
      <c r="AA57" s="259"/>
      <c r="AB57" s="259"/>
      <c r="AC57" s="259"/>
      <c r="AD57" s="259"/>
      <c r="AE57" s="259"/>
      <c r="AF57" s="259"/>
      <c r="AG57" s="259"/>
      <c r="AH57" s="259"/>
      <c r="AI57" s="259"/>
      <c r="AJ57" s="259"/>
      <c r="AK57" s="259"/>
      <c r="AL57" s="259"/>
      <c r="AM57" s="259"/>
      <c r="AN57" s="259"/>
      <c r="AO57" s="259"/>
      <c r="AP57" s="259"/>
      <c r="AQ57" s="259"/>
      <c r="AR57" s="259"/>
      <c r="AS57" s="259"/>
      <c r="AT57" s="259"/>
      <c r="AU57" s="259"/>
      <c r="AV57" s="259"/>
      <c r="AW57" s="259"/>
      <c r="AX57" s="259"/>
      <c r="AY57" s="259"/>
      <c r="AZ57" s="259"/>
      <c r="BA57" s="259"/>
      <c r="BB57" s="259"/>
      <c r="BC57" s="259"/>
      <c r="BD57" s="259"/>
      <c r="BE57" s="259"/>
      <c r="BF57" s="259"/>
      <c r="BG57" s="259"/>
    </row>
    <row r="58" spans="1:59" s="2" customFormat="1" ht="15.75" x14ac:dyDescent="0.25">
      <c r="A58" s="24">
        <v>2212</v>
      </c>
      <c r="B58" s="10"/>
      <c r="C58" s="57" t="s">
        <v>7</v>
      </c>
      <c r="D58" s="63">
        <f>SUM(D8:D57)</f>
        <v>36078</v>
      </c>
      <c r="E58" s="63">
        <f>SUM(E8:E57)</f>
        <v>36803</v>
      </c>
      <c r="F58" s="130">
        <f>SUM(F8:F57)</f>
        <v>17793239.68</v>
      </c>
      <c r="G58" s="233">
        <f>SUM(G8:G57)</f>
        <v>54989</v>
      </c>
      <c r="H58" s="239">
        <f>G58</f>
        <v>54989</v>
      </c>
      <c r="I58" s="258"/>
      <c r="J58" s="258"/>
      <c r="K58" s="259"/>
      <c r="L58" s="259"/>
      <c r="M58" s="259"/>
      <c r="N58" s="259"/>
      <c r="O58" s="259"/>
      <c r="P58" s="259"/>
      <c r="Q58" s="259"/>
      <c r="R58" s="259"/>
      <c r="S58" s="259"/>
      <c r="T58" s="259"/>
      <c r="U58" s="259"/>
      <c r="V58" s="259"/>
      <c r="W58" s="259"/>
      <c r="X58" s="259"/>
      <c r="Y58" s="259"/>
      <c r="Z58" s="259"/>
      <c r="AA58" s="259"/>
      <c r="AB58" s="259"/>
      <c r="AC58" s="259"/>
      <c r="AD58" s="259"/>
      <c r="AE58" s="259"/>
      <c r="AF58" s="259"/>
      <c r="AG58" s="259"/>
      <c r="AH58" s="259"/>
      <c r="AI58" s="259"/>
      <c r="AJ58" s="259"/>
      <c r="AK58" s="259"/>
      <c r="AL58" s="259"/>
      <c r="AM58" s="259"/>
      <c r="AN58" s="259"/>
      <c r="AO58" s="259"/>
      <c r="AP58" s="259"/>
      <c r="AQ58" s="259"/>
      <c r="AR58" s="259"/>
      <c r="AS58" s="259"/>
      <c r="AT58" s="259"/>
      <c r="AU58" s="259"/>
      <c r="AV58" s="259"/>
      <c r="AW58" s="259"/>
      <c r="AX58" s="259"/>
      <c r="AY58" s="259"/>
      <c r="AZ58" s="259"/>
      <c r="BA58" s="259"/>
      <c r="BB58" s="259"/>
      <c r="BC58" s="259"/>
      <c r="BD58" s="259"/>
      <c r="BE58" s="259"/>
      <c r="BF58" s="259"/>
      <c r="BG58" s="259"/>
    </row>
    <row r="59" spans="1:59" s="2" customFormat="1" x14ac:dyDescent="0.2">
      <c r="A59" s="8"/>
      <c r="B59" s="10"/>
      <c r="C59" s="58"/>
      <c r="D59" s="66"/>
      <c r="E59" s="66"/>
      <c r="F59" s="129"/>
      <c r="G59" s="231"/>
      <c r="H59" s="237"/>
      <c r="I59" s="258"/>
      <c r="J59" s="258"/>
      <c r="K59" s="259"/>
      <c r="L59" s="259"/>
      <c r="M59" s="259"/>
      <c r="N59" s="259"/>
      <c r="O59" s="259"/>
      <c r="P59" s="259"/>
      <c r="Q59" s="259"/>
      <c r="R59" s="259"/>
      <c r="S59" s="259"/>
      <c r="T59" s="259"/>
      <c r="U59" s="259"/>
      <c r="V59" s="259"/>
      <c r="W59" s="259"/>
      <c r="X59" s="259"/>
      <c r="Y59" s="259"/>
      <c r="Z59" s="259"/>
      <c r="AA59" s="259"/>
      <c r="AB59" s="259"/>
      <c r="AC59" s="259"/>
      <c r="AD59" s="259"/>
      <c r="AE59" s="259"/>
      <c r="AF59" s="259"/>
      <c r="AG59" s="259"/>
      <c r="AH59" s="259"/>
      <c r="AI59" s="259"/>
      <c r="AJ59" s="259"/>
      <c r="AK59" s="259"/>
      <c r="AL59" s="259"/>
      <c r="AM59" s="259"/>
      <c r="AN59" s="259"/>
      <c r="AO59" s="259"/>
      <c r="AP59" s="259"/>
      <c r="AQ59" s="259"/>
      <c r="AR59" s="259"/>
      <c r="AS59" s="259"/>
      <c r="AT59" s="259"/>
      <c r="AU59" s="259"/>
      <c r="AV59" s="259"/>
      <c r="AW59" s="259"/>
      <c r="AX59" s="259"/>
      <c r="AY59" s="259"/>
      <c r="AZ59" s="259"/>
      <c r="BA59" s="259"/>
      <c r="BB59" s="259"/>
      <c r="BC59" s="259"/>
      <c r="BD59" s="259"/>
      <c r="BE59" s="259"/>
      <c r="BF59" s="259"/>
      <c r="BG59" s="259"/>
    </row>
    <row r="60" spans="1:59" s="2" customFormat="1" x14ac:dyDescent="0.2">
      <c r="A60" s="8">
        <v>2310</v>
      </c>
      <c r="B60" s="10">
        <v>5171</v>
      </c>
      <c r="C60" s="58" t="s">
        <v>6</v>
      </c>
      <c r="D60" s="66">
        <v>50</v>
      </c>
      <c r="E60" s="66">
        <v>50</v>
      </c>
      <c r="F60" s="129">
        <v>0</v>
      </c>
      <c r="G60" s="231">
        <v>50</v>
      </c>
      <c r="H60" s="237"/>
      <c r="I60" s="258"/>
      <c r="J60" s="258"/>
      <c r="K60" s="259"/>
      <c r="L60" s="259"/>
      <c r="M60" s="259"/>
      <c r="N60" s="259"/>
      <c r="O60" s="259"/>
      <c r="P60" s="259"/>
      <c r="Q60" s="259"/>
      <c r="R60" s="259"/>
      <c r="S60" s="259"/>
      <c r="T60" s="259"/>
      <c r="U60" s="259"/>
      <c r="V60" s="259"/>
      <c r="W60" s="259"/>
      <c r="X60" s="259"/>
      <c r="Y60" s="259"/>
      <c r="Z60" s="259"/>
      <c r="AA60" s="259"/>
      <c r="AB60" s="259"/>
      <c r="AC60" s="259"/>
      <c r="AD60" s="259"/>
      <c r="AE60" s="259"/>
      <c r="AF60" s="259"/>
      <c r="AG60" s="259"/>
      <c r="AH60" s="259"/>
      <c r="AI60" s="259"/>
      <c r="AJ60" s="259"/>
      <c r="AK60" s="259"/>
      <c r="AL60" s="259"/>
      <c r="AM60" s="259"/>
      <c r="AN60" s="259"/>
      <c r="AO60" s="259"/>
      <c r="AP60" s="259"/>
      <c r="AQ60" s="259"/>
      <c r="AR60" s="259"/>
      <c r="AS60" s="259"/>
      <c r="AT60" s="259"/>
      <c r="AU60" s="259"/>
      <c r="AV60" s="259"/>
      <c r="AW60" s="259"/>
      <c r="AX60" s="259"/>
      <c r="AY60" s="259"/>
      <c r="AZ60" s="259"/>
      <c r="BA60" s="259"/>
      <c r="BB60" s="259"/>
      <c r="BC60" s="259"/>
      <c r="BD60" s="259"/>
      <c r="BE60" s="259"/>
      <c r="BF60" s="259"/>
      <c r="BG60" s="259"/>
    </row>
    <row r="61" spans="1:59" s="2" customFormat="1" x14ac:dyDescent="0.2">
      <c r="A61" s="8">
        <v>2310</v>
      </c>
      <c r="B61" s="10">
        <v>6121</v>
      </c>
      <c r="C61" s="71" t="s">
        <v>416</v>
      </c>
      <c r="D61" s="103"/>
      <c r="E61" s="103"/>
      <c r="F61" s="134"/>
      <c r="G61" s="230">
        <v>550</v>
      </c>
      <c r="H61" s="237"/>
      <c r="I61" s="258"/>
      <c r="J61" s="258"/>
      <c r="K61" s="259"/>
      <c r="L61" s="259"/>
      <c r="M61" s="259"/>
      <c r="N61" s="259"/>
      <c r="O61" s="259"/>
      <c r="P61" s="259"/>
      <c r="Q61" s="259"/>
      <c r="R61" s="259"/>
      <c r="S61" s="259"/>
      <c r="T61" s="259"/>
      <c r="U61" s="259"/>
      <c r="V61" s="259"/>
      <c r="W61" s="259"/>
      <c r="X61" s="259"/>
      <c r="Y61" s="259"/>
      <c r="Z61" s="259"/>
      <c r="AA61" s="259"/>
      <c r="AB61" s="259"/>
      <c r="AC61" s="259"/>
      <c r="AD61" s="259"/>
      <c r="AE61" s="259"/>
      <c r="AF61" s="259"/>
      <c r="AG61" s="259"/>
      <c r="AH61" s="259"/>
      <c r="AI61" s="259"/>
      <c r="AJ61" s="259"/>
      <c r="AK61" s="259"/>
      <c r="AL61" s="259"/>
      <c r="AM61" s="259"/>
      <c r="AN61" s="259"/>
      <c r="AO61" s="259"/>
      <c r="AP61" s="259"/>
      <c r="AQ61" s="259"/>
      <c r="AR61" s="259"/>
      <c r="AS61" s="259"/>
      <c r="AT61" s="259"/>
      <c r="AU61" s="259"/>
      <c r="AV61" s="259"/>
      <c r="AW61" s="259"/>
      <c r="AX61" s="259"/>
      <c r="AY61" s="259"/>
      <c r="AZ61" s="259"/>
      <c r="BA61" s="259"/>
      <c r="BB61" s="259"/>
      <c r="BC61" s="259"/>
      <c r="BD61" s="259"/>
      <c r="BE61" s="259"/>
      <c r="BF61" s="259"/>
      <c r="BG61" s="259"/>
    </row>
    <row r="62" spans="1:59" s="2" customFormat="1" ht="15.75" x14ac:dyDescent="0.25">
      <c r="A62" s="24">
        <v>2310</v>
      </c>
      <c r="B62" s="25"/>
      <c r="C62" s="57" t="s">
        <v>8</v>
      </c>
      <c r="D62" s="67">
        <f>SUM(D60:D61)</f>
        <v>50</v>
      </c>
      <c r="E62" s="67">
        <f t="shared" ref="E62:F62" si="1">SUM(E60:E61)</f>
        <v>50</v>
      </c>
      <c r="F62" s="67">
        <f t="shared" si="1"/>
        <v>0</v>
      </c>
      <c r="G62" s="233">
        <f>SUM(G60:G61)</f>
        <v>600</v>
      </c>
      <c r="H62" s="239">
        <f>G62</f>
        <v>600</v>
      </c>
      <c r="I62" s="258"/>
      <c r="J62" s="258"/>
      <c r="K62" s="259"/>
      <c r="L62" s="259"/>
      <c r="M62" s="259"/>
      <c r="N62" s="259"/>
      <c r="O62" s="259"/>
      <c r="P62" s="259"/>
      <c r="Q62" s="259"/>
      <c r="R62" s="259"/>
      <c r="S62" s="259"/>
      <c r="T62" s="259"/>
      <c r="U62" s="259"/>
      <c r="V62" s="259"/>
      <c r="W62" s="259"/>
      <c r="X62" s="259"/>
      <c r="Y62" s="259"/>
      <c r="Z62" s="259"/>
      <c r="AA62" s="259"/>
      <c r="AB62" s="259"/>
      <c r="AC62" s="259"/>
      <c r="AD62" s="259"/>
      <c r="AE62" s="259"/>
      <c r="AF62" s="259"/>
      <c r="AG62" s="259"/>
      <c r="AH62" s="259"/>
      <c r="AI62" s="259"/>
      <c r="AJ62" s="259"/>
      <c r="AK62" s="259"/>
      <c r="AL62" s="259"/>
      <c r="AM62" s="259"/>
      <c r="AN62" s="259"/>
      <c r="AO62" s="259"/>
      <c r="AP62" s="259"/>
      <c r="AQ62" s="259"/>
      <c r="AR62" s="259"/>
      <c r="AS62" s="259"/>
      <c r="AT62" s="259"/>
      <c r="AU62" s="259"/>
      <c r="AV62" s="259"/>
      <c r="AW62" s="259"/>
      <c r="AX62" s="259"/>
      <c r="AY62" s="259"/>
      <c r="AZ62" s="259"/>
      <c r="BA62" s="259"/>
      <c r="BB62" s="259"/>
      <c r="BC62" s="259"/>
      <c r="BD62" s="259"/>
      <c r="BE62" s="259"/>
      <c r="BF62" s="259"/>
      <c r="BG62" s="259"/>
    </row>
    <row r="63" spans="1:59" s="2" customFormat="1" x14ac:dyDescent="0.2">
      <c r="A63" s="8"/>
      <c r="B63" s="10"/>
      <c r="C63" s="58"/>
      <c r="D63" s="66"/>
      <c r="E63" s="66"/>
      <c r="F63" s="129"/>
      <c r="G63" s="231"/>
      <c r="H63" s="237"/>
      <c r="I63" s="258"/>
      <c r="J63" s="258"/>
      <c r="K63" s="259"/>
      <c r="L63" s="259"/>
      <c r="M63" s="259"/>
      <c r="N63" s="259"/>
      <c r="O63" s="259"/>
      <c r="P63" s="259"/>
      <c r="Q63" s="259"/>
      <c r="R63" s="259"/>
      <c r="S63" s="259"/>
      <c r="T63" s="259"/>
      <c r="U63" s="259"/>
      <c r="V63" s="259"/>
      <c r="W63" s="259"/>
      <c r="X63" s="259"/>
      <c r="Y63" s="259"/>
      <c r="Z63" s="259"/>
      <c r="AA63" s="259"/>
      <c r="AB63" s="259"/>
      <c r="AC63" s="259"/>
      <c r="AD63" s="259"/>
      <c r="AE63" s="259"/>
      <c r="AF63" s="259"/>
      <c r="AG63" s="259"/>
      <c r="AH63" s="259"/>
      <c r="AI63" s="259"/>
      <c r="AJ63" s="259"/>
      <c r="AK63" s="259"/>
      <c r="AL63" s="259"/>
      <c r="AM63" s="259"/>
      <c r="AN63" s="259"/>
      <c r="AO63" s="259"/>
      <c r="AP63" s="259"/>
      <c r="AQ63" s="259"/>
      <c r="AR63" s="259"/>
      <c r="AS63" s="259"/>
      <c r="AT63" s="259"/>
      <c r="AU63" s="259"/>
      <c r="AV63" s="259"/>
      <c r="AW63" s="259"/>
      <c r="AX63" s="259"/>
      <c r="AY63" s="259"/>
      <c r="AZ63" s="259"/>
      <c r="BA63" s="259"/>
      <c r="BB63" s="259"/>
      <c r="BC63" s="259"/>
      <c r="BD63" s="259"/>
      <c r="BE63" s="259"/>
      <c r="BF63" s="259"/>
      <c r="BG63" s="259"/>
    </row>
    <row r="64" spans="1:59" s="2" customFormat="1" x14ac:dyDescent="0.2">
      <c r="A64" s="8">
        <v>2321</v>
      </c>
      <c r="B64" s="10">
        <v>5139</v>
      </c>
      <c r="C64" s="58" t="s">
        <v>4</v>
      </c>
      <c r="D64" s="66">
        <v>2</v>
      </c>
      <c r="E64" s="66">
        <v>2</v>
      </c>
      <c r="F64" s="129">
        <v>0</v>
      </c>
      <c r="G64" s="231">
        <v>5</v>
      </c>
      <c r="H64" s="237"/>
      <c r="I64" s="258"/>
      <c r="J64" s="258"/>
      <c r="K64" s="259"/>
      <c r="L64" s="259"/>
      <c r="M64" s="259"/>
      <c r="N64" s="259"/>
      <c r="O64" s="259"/>
      <c r="P64" s="259"/>
      <c r="Q64" s="259"/>
      <c r="R64" s="259"/>
      <c r="S64" s="259"/>
      <c r="T64" s="259"/>
      <c r="U64" s="259"/>
      <c r="V64" s="259"/>
      <c r="W64" s="259"/>
      <c r="X64" s="259"/>
      <c r="Y64" s="259"/>
      <c r="Z64" s="259"/>
      <c r="AA64" s="259"/>
      <c r="AB64" s="259"/>
      <c r="AC64" s="259"/>
      <c r="AD64" s="259"/>
      <c r="AE64" s="259"/>
      <c r="AF64" s="259"/>
      <c r="AG64" s="259"/>
      <c r="AH64" s="259"/>
      <c r="AI64" s="259"/>
      <c r="AJ64" s="259"/>
      <c r="AK64" s="259"/>
      <c r="AL64" s="259"/>
      <c r="AM64" s="259"/>
      <c r="AN64" s="259"/>
      <c r="AO64" s="259"/>
      <c r="AP64" s="259"/>
      <c r="AQ64" s="259"/>
      <c r="AR64" s="259"/>
      <c r="AS64" s="259"/>
      <c r="AT64" s="259"/>
      <c r="AU64" s="259"/>
      <c r="AV64" s="259"/>
      <c r="AW64" s="259"/>
      <c r="AX64" s="259"/>
      <c r="AY64" s="259"/>
      <c r="AZ64" s="259"/>
      <c r="BA64" s="259"/>
      <c r="BB64" s="259"/>
      <c r="BC64" s="259"/>
      <c r="BD64" s="259"/>
      <c r="BE64" s="259"/>
      <c r="BF64" s="259"/>
      <c r="BG64" s="259"/>
    </row>
    <row r="65" spans="1:59" s="2" customFormat="1" x14ac:dyDescent="0.2">
      <c r="A65" s="8">
        <v>2321</v>
      </c>
      <c r="B65" s="10">
        <v>5169</v>
      </c>
      <c r="C65" s="58" t="s">
        <v>117</v>
      </c>
      <c r="D65" s="66">
        <v>10</v>
      </c>
      <c r="E65" s="66">
        <v>10</v>
      </c>
      <c r="F65" s="129">
        <v>1936</v>
      </c>
      <c r="G65" s="231">
        <v>10</v>
      </c>
      <c r="H65" s="237"/>
      <c r="I65" s="258"/>
      <c r="J65" s="258"/>
      <c r="K65" s="259"/>
      <c r="L65" s="259"/>
      <c r="M65" s="259"/>
      <c r="N65" s="259"/>
      <c r="O65" s="259"/>
      <c r="P65" s="259"/>
      <c r="Q65" s="259"/>
      <c r="R65" s="259"/>
      <c r="S65" s="259"/>
      <c r="T65" s="259"/>
      <c r="U65" s="259"/>
      <c r="V65" s="259"/>
      <c r="W65" s="259"/>
      <c r="X65" s="259"/>
      <c r="Y65" s="259"/>
      <c r="Z65" s="259"/>
      <c r="AA65" s="259"/>
      <c r="AB65" s="259"/>
      <c r="AC65" s="259"/>
      <c r="AD65" s="259"/>
      <c r="AE65" s="259"/>
      <c r="AF65" s="259"/>
      <c r="AG65" s="259"/>
      <c r="AH65" s="259"/>
      <c r="AI65" s="259"/>
      <c r="AJ65" s="259"/>
      <c r="AK65" s="259"/>
      <c r="AL65" s="259"/>
      <c r="AM65" s="259"/>
      <c r="AN65" s="259"/>
      <c r="AO65" s="259"/>
      <c r="AP65" s="259"/>
      <c r="AQ65" s="259"/>
      <c r="AR65" s="259"/>
      <c r="AS65" s="259"/>
      <c r="AT65" s="259"/>
      <c r="AU65" s="259"/>
      <c r="AV65" s="259"/>
      <c r="AW65" s="259"/>
      <c r="AX65" s="259"/>
      <c r="AY65" s="259"/>
      <c r="AZ65" s="259"/>
      <c r="BA65" s="259"/>
      <c r="BB65" s="259"/>
      <c r="BC65" s="259"/>
      <c r="BD65" s="259"/>
      <c r="BE65" s="259"/>
      <c r="BF65" s="259"/>
      <c r="BG65" s="259"/>
    </row>
    <row r="66" spans="1:59" x14ac:dyDescent="0.2">
      <c r="A66" s="8">
        <v>2321</v>
      </c>
      <c r="B66" s="10">
        <v>5171</v>
      </c>
      <c r="C66" s="58" t="s">
        <v>111</v>
      </c>
      <c r="D66" s="66">
        <v>50</v>
      </c>
      <c r="E66" s="66">
        <v>50</v>
      </c>
      <c r="F66" s="129">
        <v>0</v>
      </c>
      <c r="G66" s="231">
        <v>50</v>
      </c>
      <c r="H66" s="237"/>
    </row>
    <row r="67" spans="1:59" x14ac:dyDescent="0.2">
      <c r="A67" s="8">
        <v>2321</v>
      </c>
      <c r="B67" s="10">
        <v>6121</v>
      </c>
      <c r="C67" s="71" t="s">
        <v>205</v>
      </c>
      <c r="D67" s="103">
        <v>3900</v>
      </c>
      <c r="E67" s="103">
        <v>3900</v>
      </c>
      <c r="F67" s="134">
        <v>189340</v>
      </c>
      <c r="G67" s="230">
        <v>1900</v>
      </c>
      <c r="H67" s="237"/>
    </row>
    <row r="68" spans="1:59" ht="15.75" x14ac:dyDescent="0.25">
      <c r="A68" s="24">
        <v>2321</v>
      </c>
      <c r="B68" s="25"/>
      <c r="C68" s="57" t="s">
        <v>9</v>
      </c>
      <c r="D68" s="67">
        <f>SUM(D64:D67)</f>
        <v>3962</v>
      </c>
      <c r="E68" s="67">
        <f>SUM(E64:E67)</f>
        <v>3962</v>
      </c>
      <c r="F68" s="130">
        <f>SUM(F64:F67)</f>
        <v>191276</v>
      </c>
      <c r="G68" s="233">
        <f>SUM(G64:G67)</f>
        <v>1965</v>
      </c>
      <c r="H68" s="239">
        <f>G68</f>
        <v>1965</v>
      </c>
    </row>
    <row r="69" spans="1:59" x14ac:dyDescent="0.2">
      <c r="A69" s="8"/>
      <c r="B69" s="10"/>
      <c r="C69" s="58"/>
      <c r="D69" s="66"/>
      <c r="E69" s="66"/>
      <c r="F69" s="129"/>
      <c r="G69" s="231"/>
      <c r="H69" s="237"/>
    </row>
    <row r="70" spans="1:59" x14ac:dyDescent="0.2">
      <c r="A70" s="8">
        <v>2334</v>
      </c>
      <c r="B70" s="45">
        <v>5139</v>
      </c>
      <c r="C70" s="58" t="s">
        <v>4</v>
      </c>
      <c r="D70" s="66">
        <v>5</v>
      </c>
      <c r="E70" s="66">
        <v>5</v>
      </c>
      <c r="F70" s="129">
        <v>0</v>
      </c>
      <c r="G70" s="231">
        <v>5</v>
      </c>
      <c r="H70" s="237"/>
    </row>
    <row r="71" spans="1:59" x14ac:dyDescent="0.2">
      <c r="A71" s="47">
        <v>2334</v>
      </c>
      <c r="B71" s="48">
        <v>5169</v>
      </c>
      <c r="C71" s="55" t="s">
        <v>125</v>
      </c>
      <c r="D71" s="66">
        <v>25</v>
      </c>
      <c r="E71" s="66">
        <v>25</v>
      </c>
      <c r="F71" s="129">
        <v>0</v>
      </c>
      <c r="G71" s="231">
        <v>25</v>
      </c>
      <c r="H71" s="237"/>
    </row>
    <row r="72" spans="1:59" x14ac:dyDescent="0.2">
      <c r="A72" s="47">
        <v>2334</v>
      </c>
      <c r="B72" s="48">
        <v>5171</v>
      </c>
      <c r="C72" s="55" t="s">
        <v>62</v>
      </c>
      <c r="D72" s="66">
        <v>15</v>
      </c>
      <c r="E72" s="66">
        <v>15</v>
      </c>
      <c r="F72" s="129">
        <v>0</v>
      </c>
      <c r="G72" s="231">
        <v>15</v>
      </c>
      <c r="H72" s="237"/>
    </row>
    <row r="73" spans="1:59" ht="30" x14ac:dyDescent="0.2">
      <c r="A73" s="47"/>
      <c r="B73" s="48"/>
      <c r="C73" s="55" t="s">
        <v>126</v>
      </c>
      <c r="D73" s="66">
        <v>100</v>
      </c>
      <c r="E73" s="66">
        <v>100</v>
      </c>
      <c r="F73" s="129">
        <v>0</v>
      </c>
      <c r="G73" s="231">
        <v>100</v>
      </c>
      <c r="H73" s="237"/>
    </row>
    <row r="74" spans="1:59" ht="15.75" x14ac:dyDescent="0.25">
      <c r="A74" s="24">
        <v>2334</v>
      </c>
      <c r="B74" s="25"/>
      <c r="C74" s="57" t="s">
        <v>212</v>
      </c>
      <c r="D74" s="67">
        <f>SUM(D70:D73)</f>
        <v>145</v>
      </c>
      <c r="E74" s="67">
        <f>SUM(E70:E73)</f>
        <v>145</v>
      </c>
      <c r="F74" s="130">
        <f>SUM(F70:F73)</f>
        <v>0</v>
      </c>
      <c r="G74" s="233">
        <f>SUM(G70:G73)</f>
        <v>145</v>
      </c>
      <c r="H74" s="239">
        <f>G74</f>
        <v>145</v>
      </c>
    </row>
    <row r="75" spans="1:59" ht="15.75" x14ac:dyDescent="0.25">
      <c r="A75" s="24"/>
      <c r="B75" s="25"/>
      <c r="C75" s="57"/>
      <c r="D75" s="67"/>
      <c r="E75" s="67"/>
      <c r="F75" s="130"/>
      <c r="G75" s="231"/>
      <c r="H75" s="237"/>
    </row>
    <row r="76" spans="1:59" ht="15.75" x14ac:dyDescent="0.25">
      <c r="A76" s="27">
        <v>3111</v>
      </c>
      <c r="B76" s="10"/>
      <c r="C76" s="59" t="s">
        <v>213</v>
      </c>
      <c r="D76" s="66"/>
      <c r="E76" s="66"/>
      <c r="F76" s="129"/>
      <c r="G76" s="231"/>
      <c r="H76" s="237"/>
    </row>
    <row r="77" spans="1:59" s="160" customFormat="1" x14ac:dyDescent="0.2">
      <c r="A77" s="47">
        <v>3111</v>
      </c>
      <c r="B77" s="48">
        <v>5169</v>
      </c>
      <c r="C77" s="46" t="s">
        <v>37</v>
      </c>
      <c r="D77" s="66">
        <v>40</v>
      </c>
      <c r="E77" s="66">
        <v>40</v>
      </c>
      <c r="F77" s="129">
        <v>0</v>
      </c>
      <c r="G77" s="231">
        <v>60</v>
      </c>
      <c r="H77" s="237"/>
      <c r="I77" s="251"/>
      <c r="J77" s="251"/>
      <c r="K77" s="251"/>
      <c r="L77" s="251"/>
      <c r="M77" s="251"/>
      <c r="N77" s="251"/>
      <c r="O77" s="251"/>
      <c r="P77" s="251"/>
      <c r="Q77" s="251"/>
      <c r="R77" s="251"/>
      <c r="S77" s="251"/>
      <c r="T77" s="251"/>
      <c r="U77" s="251"/>
      <c r="V77" s="251"/>
      <c r="W77" s="251"/>
      <c r="X77" s="251"/>
      <c r="Y77" s="251"/>
      <c r="Z77" s="251"/>
      <c r="AA77" s="251"/>
      <c r="AB77" s="251"/>
      <c r="AC77" s="251"/>
      <c r="AD77" s="251"/>
      <c r="AE77" s="251"/>
      <c r="AF77" s="251"/>
      <c r="AG77" s="251"/>
      <c r="AH77" s="251"/>
      <c r="AI77" s="251"/>
      <c r="AJ77" s="251"/>
      <c r="AK77" s="251"/>
      <c r="AL77" s="251"/>
      <c r="AM77" s="251"/>
      <c r="AN77" s="251"/>
      <c r="AO77" s="251"/>
      <c r="AP77" s="251"/>
      <c r="AQ77" s="251"/>
      <c r="AR77" s="251"/>
      <c r="AS77" s="251"/>
      <c r="AT77" s="251"/>
      <c r="AU77" s="251"/>
      <c r="AV77" s="251"/>
      <c r="AW77" s="251"/>
      <c r="AX77" s="251"/>
      <c r="AY77" s="251"/>
      <c r="AZ77" s="251"/>
      <c r="BA77" s="251"/>
      <c r="BB77" s="251"/>
      <c r="BC77" s="251"/>
      <c r="BD77" s="251"/>
      <c r="BE77" s="251"/>
      <c r="BF77" s="251"/>
      <c r="BG77" s="251"/>
    </row>
    <row r="78" spans="1:59" x14ac:dyDescent="0.2">
      <c r="A78" s="47">
        <v>3111</v>
      </c>
      <c r="B78" s="48">
        <v>5194</v>
      </c>
      <c r="C78" s="46" t="s">
        <v>159</v>
      </c>
      <c r="D78" s="66">
        <v>8</v>
      </c>
      <c r="E78" s="66">
        <v>8</v>
      </c>
      <c r="F78" s="129">
        <v>6000</v>
      </c>
      <c r="G78" s="231">
        <v>9</v>
      </c>
      <c r="H78" s="237"/>
    </row>
    <row r="79" spans="1:59" x14ac:dyDescent="0.2">
      <c r="A79" s="47">
        <v>3111</v>
      </c>
      <c r="B79" s="48">
        <v>5331</v>
      </c>
      <c r="C79" s="46" t="s">
        <v>363</v>
      </c>
      <c r="D79" s="66">
        <v>1768</v>
      </c>
      <c r="E79" s="66">
        <v>1768</v>
      </c>
      <c r="F79" s="129">
        <v>1622867</v>
      </c>
      <c r="G79" s="231">
        <f>1668</f>
        <v>1668</v>
      </c>
      <c r="H79" s="237"/>
      <c r="I79" s="162"/>
    </row>
    <row r="80" spans="1:59" x14ac:dyDescent="0.2">
      <c r="A80" s="47">
        <v>3111</v>
      </c>
      <c r="B80" s="48">
        <v>5331</v>
      </c>
      <c r="C80" s="46" t="s">
        <v>398</v>
      </c>
      <c r="D80" s="66"/>
      <c r="E80" s="66"/>
      <c r="F80" s="129"/>
      <c r="G80" s="231">
        <v>4677</v>
      </c>
      <c r="H80" s="237"/>
      <c r="I80" s="162"/>
    </row>
    <row r="81" spans="1:59" ht="30" x14ac:dyDescent="0.2">
      <c r="A81" s="47">
        <v>3111</v>
      </c>
      <c r="B81" s="48">
        <v>5331</v>
      </c>
      <c r="C81" s="46" t="s">
        <v>362</v>
      </c>
      <c r="D81" s="66"/>
      <c r="E81" s="66"/>
      <c r="F81" s="129"/>
      <c r="G81" s="231">
        <v>33.200000000000003</v>
      </c>
      <c r="H81" s="237"/>
      <c r="I81" s="262"/>
    </row>
    <row r="82" spans="1:59" x14ac:dyDescent="0.2">
      <c r="A82" s="47">
        <v>3111</v>
      </c>
      <c r="B82" s="48">
        <v>5901</v>
      </c>
      <c r="C82" s="46" t="s">
        <v>364</v>
      </c>
      <c r="D82" s="66"/>
      <c r="E82" s="66"/>
      <c r="F82" s="129"/>
      <c r="G82" s="231">
        <v>484.8</v>
      </c>
      <c r="H82" s="237"/>
      <c r="I82" s="262"/>
    </row>
    <row r="83" spans="1:59" ht="30" x14ac:dyDescent="0.2">
      <c r="A83" s="47">
        <v>3111</v>
      </c>
      <c r="B83" s="48">
        <v>5336</v>
      </c>
      <c r="C83" s="46" t="s">
        <v>199</v>
      </c>
      <c r="D83" s="66">
        <v>147</v>
      </c>
      <c r="E83" s="66">
        <v>147</v>
      </c>
      <c r="F83" s="129">
        <v>50842</v>
      </c>
      <c r="G83" s="231">
        <v>76</v>
      </c>
      <c r="H83" s="237"/>
      <c r="I83" s="263"/>
    </row>
    <row r="84" spans="1:59" x14ac:dyDescent="0.2">
      <c r="A84" s="47">
        <v>3111</v>
      </c>
      <c r="B84" s="48">
        <v>5336</v>
      </c>
      <c r="C84" s="58" t="s">
        <v>297</v>
      </c>
      <c r="D84" s="66">
        <v>0</v>
      </c>
      <c r="E84" s="66">
        <v>479.2</v>
      </c>
      <c r="F84" s="129">
        <v>479200</v>
      </c>
      <c r="G84" s="231">
        <v>0</v>
      </c>
      <c r="H84" s="237"/>
      <c r="I84" s="162"/>
    </row>
    <row r="85" spans="1:59" ht="15.75" x14ac:dyDescent="0.25">
      <c r="A85" s="47"/>
      <c r="B85" s="48"/>
      <c r="C85" s="82" t="s">
        <v>211</v>
      </c>
      <c r="D85" s="66"/>
      <c r="E85" s="66"/>
      <c r="F85" s="129"/>
      <c r="G85" s="231"/>
      <c r="H85" s="237"/>
      <c r="I85" s="162"/>
    </row>
    <row r="86" spans="1:59" x14ac:dyDescent="0.2">
      <c r="A86" s="47">
        <v>3111</v>
      </c>
      <c r="B86" s="48">
        <v>6121</v>
      </c>
      <c r="C86" s="89" t="s">
        <v>226</v>
      </c>
      <c r="D86" s="103">
        <v>10000</v>
      </c>
      <c r="E86" s="103">
        <v>10000</v>
      </c>
      <c r="F86" s="134">
        <v>10000000</v>
      </c>
      <c r="G86" s="231">
        <v>0</v>
      </c>
      <c r="H86" s="237"/>
      <c r="I86" s="257"/>
    </row>
    <row r="87" spans="1:59" ht="45.75" customHeight="1" x14ac:dyDescent="0.2">
      <c r="A87" s="47">
        <v>3111</v>
      </c>
      <c r="B87" s="48">
        <v>6121</v>
      </c>
      <c r="C87" s="89" t="s">
        <v>298</v>
      </c>
      <c r="D87" s="103">
        <v>2900</v>
      </c>
      <c r="E87" s="103">
        <v>2900</v>
      </c>
      <c r="F87" s="134">
        <f>236203.11+400</f>
        <v>236603.11</v>
      </c>
      <c r="G87" s="232">
        <v>0</v>
      </c>
      <c r="H87" s="237"/>
    </row>
    <row r="88" spans="1:59" ht="28.5" customHeight="1" x14ac:dyDescent="0.2">
      <c r="A88" s="47">
        <v>3111</v>
      </c>
      <c r="B88" s="48">
        <v>6121</v>
      </c>
      <c r="C88" s="89" t="s">
        <v>279</v>
      </c>
      <c r="D88" s="103">
        <v>0</v>
      </c>
      <c r="E88" s="103">
        <v>2897.3</v>
      </c>
      <c r="F88" s="134">
        <v>2897256.13</v>
      </c>
      <c r="G88" s="231">
        <v>0</v>
      </c>
      <c r="H88" s="237"/>
    </row>
    <row r="89" spans="1:59" ht="28.5" customHeight="1" x14ac:dyDescent="0.2">
      <c r="A89" s="47">
        <v>3111</v>
      </c>
      <c r="B89" s="48">
        <v>6121</v>
      </c>
      <c r="C89" s="89" t="s">
        <v>314</v>
      </c>
      <c r="D89" s="103">
        <v>4723.3</v>
      </c>
      <c r="E89" s="103">
        <v>4723.3</v>
      </c>
      <c r="F89" s="134">
        <f>1536679.06+47795+9196+1595082.86+1534541.08</f>
        <v>4723294</v>
      </c>
      <c r="G89" s="231">
        <v>0</v>
      </c>
      <c r="H89" s="237"/>
    </row>
    <row r="90" spans="1:59" ht="30" x14ac:dyDescent="0.2">
      <c r="A90" s="47">
        <v>3111</v>
      </c>
      <c r="B90" s="48">
        <v>6121</v>
      </c>
      <c r="C90" s="89" t="s">
        <v>315</v>
      </c>
      <c r="D90" s="103">
        <f>8000-D89</f>
        <v>3276.7</v>
      </c>
      <c r="E90" s="103">
        <f>8000-E89</f>
        <v>3276.7</v>
      </c>
      <c r="F90" s="134">
        <f>9196+10378.45+3066404.66+9196+53832.3+36215.91</f>
        <v>3185223.3200000003</v>
      </c>
      <c r="G90" s="232">
        <v>0</v>
      </c>
      <c r="H90" s="237"/>
      <c r="I90" s="258"/>
    </row>
    <row r="91" spans="1:59" ht="31.5" x14ac:dyDescent="0.25">
      <c r="A91" s="47"/>
      <c r="B91" s="48"/>
      <c r="C91" s="71" t="s">
        <v>345</v>
      </c>
      <c r="D91" s="103"/>
      <c r="E91" s="103"/>
      <c r="F91" s="134"/>
      <c r="G91" s="231">
        <v>0</v>
      </c>
      <c r="H91" s="237"/>
      <c r="I91" s="258"/>
    </row>
    <row r="92" spans="1:59" ht="15.75" x14ac:dyDescent="0.25">
      <c r="A92" s="24">
        <v>3111</v>
      </c>
      <c r="B92" s="25"/>
      <c r="C92" s="57" t="s">
        <v>65</v>
      </c>
      <c r="D92" s="67">
        <f>SUM(D77:D90)</f>
        <v>22863</v>
      </c>
      <c r="E92" s="67">
        <f>SUM(E77:E90)</f>
        <v>26239.5</v>
      </c>
      <c r="F92" s="130">
        <f>SUM(F77:F90)</f>
        <v>23201285.559999999</v>
      </c>
      <c r="G92" s="233">
        <f>SUM(G77:G91)</f>
        <v>7008</v>
      </c>
      <c r="H92" s="239">
        <f>G92</f>
        <v>7008</v>
      </c>
    </row>
    <row r="93" spans="1:59" ht="15.75" x14ac:dyDescent="0.25">
      <c r="A93" s="24"/>
      <c r="B93" s="25"/>
      <c r="C93" s="57"/>
      <c r="D93" s="66"/>
      <c r="E93" s="66"/>
      <c r="F93" s="133"/>
      <c r="G93" s="231"/>
      <c r="H93" s="237"/>
    </row>
    <row r="94" spans="1:59" ht="15.75" x14ac:dyDescent="0.25">
      <c r="A94" s="24">
        <v>3113</v>
      </c>
      <c r="B94" s="25"/>
      <c r="C94" s="57" t="s">
        <v>214</v>
      </c>
      <c r="D94" s="66"/>
      <c r="E94" s="66"/>
      <c r="F94" s="133"/>
      <c r="G94" s="231"/>
      <c r="H94" s="237"/>
    </row>
    <row r="95" spans="1:59" s="6" customFormat="1" x14ac:dyDescent="0.2">
      <c r="A95" s="47">
        <v>3113</v>
      </c>
      <c r="B95" s="48">
        <v>5169</v>
      </c>
      <c r="C95" s="46" t="s">
        <v>37</v>
      </c>
      <c r="D95" s="66">
        <v>100</v>
      </c>
      <c r="E95" s="66">
        <v>100</v>
      </c>
      <c r="F95" s="129">
        <v>78650</v>
      </c>
      <c r="G95" s="231">
        <v>0</v>
      </c>
      <c r="H95" s="237"/>
      <c r="I95" s="251"/>
      <c r="J95" s="251"/>
      <c r="K95" s="264"/>
      <c r="L95" s="264"/>
      <c r="M95" s="264"/>
      <c r="N95" s="264"/>
      <c r="O95" s="264"/>
      <c r="P95" s="264"/>
      <c r="Q95" s="264"/>
      <c r="R95" s="264"/>
      <c r="S95" s="264"/>
      <c r="T95" s="264"/>
      <c r="U95" s="264"/>
      <c r="V95" s="264"/>
      <c r="W95" s="264"/>
      <c r="X95" s="264"/>
      <c r="Y95" s="264"/>
      <c r="Z95" s="264"/>
      <c r="AA95" s="264"/>
      <c r="AB95" s="264"/>
      <c r="AC95" s="264"/>
      <c r="AD95" s="264"/>
      <c r="AE95" s="264"/>
      <c r="AF95" s="264"/>
      <c r="AG95" s="264"/>
      <c r="AH95" s="264"/>
      <c r="AI95" s="264"/>
      <c r="AJ95" s="264"/>
      <c r="AK95" s="264"/>
      <c r="AL95" s="264"/>
      <c r="AM95" s="264"/>
      <c r="AN95" s="264"/>
      <c r="AO95" s="264"/>
      <c r="AP95" s="264"/>
      <c r="AQ95" s="264"/>
      <c r="AR95" s="264"/>
      <c r="AS95" s="264"/>
      <c r="AT95" s="264"/>
      <c r="AU95" s="264"/>
      <c r="AV95" s="264"/>
      <c r="AW95" s="264"/>
      <c r="AX95" s="264"/>
      <c r="AY95" s="264"/>
      <c r="AZ95" s="264"/>
      <c r="BA95" s="264"/>
      <c r="BB95" s="264"/>
      <c r="BC95" s="264"/>
      <c r="BD95" s="264"/>
      <c r="BE95" s="264"/>
      <c r="BF95" s="264"/>
      <c r="BG95" s="264"/>
    </row>
    <row r="96" spans="1:59" s="6" customFormat="1" x14ac:dyDescent="0.2">
      <c r="A96" s="47">
        <v>3113</v>
      </c>
      <c r="B96" s="48">
        <v>5137</v>
      </c>
      <c r="C96" s="90" t="s">
        <v>265</v>
      </c>
      <c r="D96" s="66">
        <v>4000</v>
      </c>
      <c r="E96" s="66">
        <v>4000</v>
      </c>
      <c r="F96" s="129">
        <v>0</v>
      </c>
      <c r="G96" s="231">
        <v>0</v>
      </c>
      <c r="H96" s="237"/>
      <c r="I96" s="251"/>
      <c r="J96" s="251"/>
      <c r="K96" s="264"/>
      <c r="L96" s="264"/>
      <c r="M96" s="264"/>
      <c r="N96" s="264"/>
      <c r="O96" s="264"/>
      <c r="P96" s="264"/>
      <c r="Q96" s="264"/>
      <c r="R96" s="264"/>
      <c r="S96" s="264"/>
      <c r="T96" s="264"/>
      <c r="U96" s="264"/>
      <c r="V96" s="264"/>
      <c r="W96" s="264"/>
      <c r="X96" s="264"/>
      <c r="Y96" s="264"/>
      <c r="Z96" s="264"/>
      <c r="AA96" s="264"/>
      <c r="AB96" s="264"/>
      <c r="AC96" s="264"/>
      <c r="AD96" s="264"/>
      <c r="AE96" s="264"/>
      <c r="AF96" s="264"/>
      <c r="AG96" s="264"/>
      <c r="AH96" s="264"/>
      <c r="AI96" s="264"/>
      <c r="AJ96" s="264"/>
      <c r="AK96" s="264"/>
      <c r="AL96" s="264"/>
      <c r="AM96" s="264"/>
      <c r="AN96" s="264"/>
      <c r="AO96" s="264"/>
      <c r="AP96" s="264"/>
      <c r="AQ96" s="264"/>
      <c r="AR96" s="264"/>
      <c r="AS96" s="264"/>
      <c r="AT96" s="264"/>
      <c r="AU96" s="264"/>
      <c r="AV96" s="264"/>
      <c r="AW96" s="264"/>
      <c r="AX96" s="264"/>
      <c r="AY96" s="264"/>
      <c r="AZ96" s="264"/>
      <c r="BA96" s="264"/>
      <c r="BB96" s="264"/>
      <c r="BC96" s="264"/>
      <c r="BD96" s="264"/>
      <c r="BE96" s="264"/>
      <c r="BF96" s="264"/>
      <c r="BG96" s="264"/>
    </row>
    <row r="97" spans="1:59" s="6" customFormat="1" x14ac:dyDescent="0.2">
      <c r="A97" s="47">
        <v>3113</v>
      </c>
      <c r="B97" s="48">
        <v>5331</v>
      </c>
      <c r="C97" s="46" t="s">
        <v>316</v>
      </c>
      <c r="D97" s="66">
        <v>0</v>
      </c>
      <c r="E97" s="66">
        <v>0</v>
      </c>
      <c r="F97" s="129">
        <v>217064</v>
      </c>
      <c r="G97" s="231">
        <v>0</v>
      </c>
      <c r="H97" s="237"/>
      <c r="I97" s="251"/>
      <c r="J97" s="251"/>
      <c r="K97" s="264"/>
      <c r="L97" s="264"/>
      <c r="M97" s="264"/>
      <c r="N97" s="264"/>
      <c r="O97" s="264"/>
      <c r="P97" s="264"/>
      <c r="Q97" s="264"/>
      <c r="R97" s="264"/>
      <c r="S97" s="264"/>
      <c r="T97" s="264"/>
      <c r="U97" s="264"/>
      <c r="V97" s="264"/>
      <c r="W97" s="264"/>
      <c r="X97" s="264"/>
      <c r="Y97" s="264"/>
      <c r="Z97" s="264"/>
      <c r="AA97" s="264"/>
      <c r="AB97" s="264"/>
      <c r="AC97" s="264"/>
      <c r="AD97" s="264"/>
      <c r="AE97" s="264"/>
      <c r="AF97" s="264"/>
      <c r="AG97" s="264"/>
      <c r="AH97" s="264"/>
      <c r="AI97" s="264"/>
      <c r="AJ97" s="264"/>
      <c r="AK97" s="264"/>
      <c r="AL97" s="264"/>
      <c r="AM97" s="264"/>
      <c r="AN97" s="264"/>
      <c r="AO97" s="264"/>
      <c r="AP97" s="264"/>
      <c r="AQ97" s="264"/>
      <c r="AR97" s="264"/>
      <c r="AS97" s="264"/>
      <c r="AT97" s="264"/>
      <c r="AU97" s="264"/>
      <c r="AV97" s="264"/>
      <c r="AW97" s="264"/>
      <c r="AX97" s="264"/>
      <c r="AY97" s="264"/>
      <c r="AZ97" s="264"/>
      <c r="BA97" s="264"/>
      <c r="BB97" s="264"/>
      <c r="BC97" s="264"/>
      <c r="BD97" s="264"/>
      <c r="BE97" s="264"/>
      <c r="BF97" s="264"/>
      <c r="BG97" s="264"/>
    </row>
    <row r="98" spans="1:59" s="6" customFormat="1" x14ac:dyDescent="0.2">
      <c r="A98" s="47">
        <v>3113</v>
      </c>
      <c r="B98" s="48">
        <v>5171</v>
      </c>
      <c r="C98" s="46" t="s">
        <v>281</v>
      </c>
      <c r="D98" s="66">
        <v>350</v>
      </c>
      <c r="E98" s="66">
        <v>350</v>
      </c>
      <c r="F98" s="129">
        <v>0</v>
      </c>
      <c r="G98" s="231">
        <v>0</v>
      </c>
      <c r="H98" s="237"/>
      <c r="I98" s="251"/>
      <c r="J98" s="251"/>
      <c r="K98" s="264"/>
      <c r="L98" s="264"/>
      <c r="M98" s="264"/>
      <c r="N98" s="264"/>
      <c r="O98" s="264"/>
      <c r="P98" s="264"/>
      <c r="Q98" s="264"/>
      <c r="R98" s="264"/>
      <c r="S98" s="264"/>
      <c r="T98" s="264"/>
      <c r="U98" s="264"/>
      <c r="V98" s="264"/>
      <c r="W98" s="264"/>
      <c r="X98" s="264"/>
      <c r="Y98" s="264"/>
      <c r="Z98" s="264"/>
      <c r="AA98" s="264"/>
      <c r="AB98" s="264"/>
      <c r="AC98" s="264"/>
      <c r="AD98" s="264"/>
      <c r="AE98" s="264"/>
      <c r="AF98" s="264"/>
      <c r="AG98" s="264"/>
      <c r="AH98" s="264"/>
      <c r="AI98" s="264"/>
      <c r="AJ98" s="264"/>
      <c r="AK98" s="264"/>
      <c r="AL98" s="264"/>
      <c r="AM98" s="264"/>
      <c r="AN98" s="264"/>
      <c r="AO98" s="264"/>
      <c r="AP98" s="264"/>
      <c r="AQ98" s="264"/>
      <c r="AR98" s="264"/>
      <c r="AS98" s="264"/>
      <c r="AT98" s="264"/>
      <c r="AU98" s="264"/>
      <c r="AV98" s="264"/>
      <c r="AW98" s="264"/>
      <c r="AX98" s="264"/>
      <c r="AY98" s="264"/>
      <c r="AZ98" s="264"/>
      <c r="BA98" s="264"/>
      <c r="BB98" s="264"/>
      <c r="BC98" s="264"/>
      <c r="BD98" s="264"/>
      <c r="BE98" s="264"/>
      <c r="BF98" s="264"/>
      <c r="BG98" s="264"/>
    </row>
    <row r="99" spans="1:59" s="6" customFormat="1" x14ac:dyDescent="0.2">
      <c r="A99" s="47">
        <v>3113</v>
      </c>
      <c r="B99" s="48">
        <v>5194</v>
      </c>
      <c r="C99" s="46" t="s">
        <v>237</v>
      </c>
      <c r="D99" s="66">
        <v>60</v>
      </c>
      <c r="E99" s="66">
        <v>60</v>
      </c>
      <c r="F99" s="129">
        <v>45628</v>
      </c>
      <c r="G99" s="231">
        <v>60.9</v>
      </c>
      <c r="H99" s="237"/>
      <c r="I99" s="251"/>
      <c r="J99" s="251"/>
      <c r="K99" s="264"/>
      <c r="L99" s="264"/>
      <c r="M99" s="264"/>
      <c r="N99" s="264"/>
      <c r="O99" s="264"/>
      <c r="P99" s="264"/>
      <c r="Q99" s="264"/>
      <c r="R99" s="264"/>
      <c r="S99" s="264"/>
      <c r="T99" s="264"/>
      <c r="U99" s="264"/>
      <c r="V99" s="264"/>
      <c r="W99" s="264"/>
      <c r="X99" s="264"/>
      <c r="Y99" s="264"/>
      <c r="Z99" s="264"/>
      <c r="AA99" s="264"/>
      <c r="AB99" s="264"/>
      <c r="AC99" s="264"/>
      <c r="AD99" s="264"/>
      <c r="AE99" s="264"/>
      <c r="AF99" s="264"/>
      <c r="AG99" s="264"/>
      <c r="AH99" s="264"/>
      <c r="AI99" s="264"/>
      <c r="AJ99" s="264"/>
      <c r="AK99" s="264"/>
      <c r="AL99" s="264"/>
      <c r="AM99" s="264"/>
      <c r="AN99" s="264"/>
      <c r="AO99" s="264"/>
      <c r="AP99" s="264"/>
      <c r="AQ99" s="264"/>
      <c r="AR99" s="264"/>
      <c r="AS99" s="264"/>
      <c r="AT99" s="264"/>
      <c r="AU99" s="264"/>
      <c r="AV99" s="264"/>
      <c r="AW99" s="264"/>
      <c r="AX99" s="264"/>
      <c r="AY99" s="264"/>
      <c r="AZ99" s="264"/>
      <c r="BA99" s="264"/>
      <c r="BB99" s="264"/>
      <c r="BC99" s="264"/>
      <c r="BD99" s="264"/>
      <c r="BE99" s="264"/>
      <c r="BF99" s="264"/>
      <c r="BG99" s="264"/>
    </row>
    <row r="100" spans="1:59" s="6" customFormat="1" ht="30" x14ac:dyDescent="0.2">
      <c r="A100" s="47">
        <v>3113</v>
      </c>
      <c r="B100" s="48">
        <v>5331</v>
      </c>
      <c r="C100" s="46" t="s">
        <v>105</v>
      </c>
      <c r="D100" s="66">
        <v>6550</v>
      </c>
      <c r="E100" s="66">
        <v>6550</v>
      </c>
      <c r="F100" s="129">
        <f>6482437.55-217064</f>
        <v>6265373.5499999998</v>
      </c>
      <c r="G100" s="231">
        <v>6600</v>
      </c>
      <c r="H100" s="237"/>
      <c r="I100" s="251"/>
      <c r="J100" s="251"/>
      <c r="K100" s="264"/>
      <c r="L100" s="264"/>
      <c r="M100" s="264"/>
      <c r="N100" s="264"/>
      <c r="O100" s="264"/>
      <c r="P100" s="264"/>
      <c r="Q100" s="264"/>
      <c r="R100" s="264"/>
      <c r="S100" s="264"/>
      <c r="T100" s="264"/>
      <c r="U100" s="264"/>
      <c r="V100" s="264"/>
      <c r="W100" s="264"/>
      <c r="X100" s="264"/>
      <c r="Y100" s="264"/>
      <c r="Z100" s="264"/>
      <c r="AA100" s="264"/>
      <c r="AB100" s="264"/>
      <c r="AC100" s="264"/>
      <c r="AD100" s="264"/>
      <c r="AE100" s="264"/>
      <c r="AF100" s="264"/>
      <c r="AG100" s="264"/>
      <c r="AH100" s="264"/>
      <c r="AI100" s="264"/>
      <c r="AJ100" s="264"/>
      <c r="AK100" s="264"/>
      <c r="AL100" s="264"/>
      <c r="AM100" s="264"/>
      <c r="AN100" s="264"/>
      <c r="AO100" s="264"/>
      <c r="AP100" s="264"/>
      <c r="AQ100" s="264"/>
      <c r="AR100" s="264"/>
      <c r="AS100" s="264"/>
      <c r="AT100" s="264"/>
      <c r="AU100" s="264"/>
      <c r="AV100" s="264"/>
      <c r="AW100" s="264"/>
      <c r="AX100" s="264"/>
      <c r="AY100" s="264"/>
      <c r="AZ100" s="264"/>
      <c r="BA100" s="264"/>
      <c r="BB100" s="264"/>
      <c r="BC100" s="264"/>
      <c r="BD100" s="264"/>
      <c r="BE100" s="264"/>
      <c r="BF100" s="264"/>
      <c r="BG100" s="264"/>
    </row>
    <row r="101" spans="1:59" s="6" customFormat="1" x14ac:dyDescent="0.2">
      <c r="A101" s="47">
        <v>3113</v>
      </c>
      <c r="B101" s="48">
        <v>5331</v>
      </c>
      <c r="C101" s="46" t="s">
        <v>399</v>
      </c>
      <c r="D101" s="66"/>
      <c r="E101" s="66"/>
      <c r="F101" s="129"/>
      <c r="G101" s="231">
        <v>12549.1</v>
      </c>
      <c r="H101" s="237"/>
      <c r="I101" s="251"/>
      <c r="J101" s="251"/>
      <c r="K101" s="264"/>
      <c r="L101" s="264"/>
      <c r="M101" s="264"/>
      <c r="N101" s="264"/>
      <c r="O101" s="264"/>
      <c r="P101" s="264"/>
      <c r="Q101" s="264"/>
      <c r="R101" s="264"/>
      <c r="S101" s="264"/>
      <c r="T101" s="264"/>
      <c r="U101" s="264"/>
      <c r="V101" s="264"/>
      <c r="W101" s="264"/>
      <c r="X101" s="264"/>
      <c r="Y101" s="264"/>
      <c r="Z101" s="264"/>
      <c r="AA101" s="264"/>
      <c r="AB101" s="264"/>
      <c r="AC101" s="264"/>
      <c r="AD101" s="264"/>
      <c r="AE101" s="264"/>
      <c r="AF101" s="264"/>
      <c r="AG101" s="264"/>
      <c r="AH101" s="264"/>
      <c r="AI101" s="264"/>
      <c r="AJ101" s="264"/>
      <c r="AK101" s="264"/>
      <c r="AL101" s="264"/>
      <c r="AM101" s="264"/>
      <c r="AN101" s="264"/>
      <c r="AO101" s="264"/>
      <c r="AP101" s="264"/>
      <c r="AQ101" s="264"/>
      <c r="AR101" s="264"/>
      <c r="AS101" s="264"/>
      <c r="AT101" s="264"/>
      <c r="AU101" s="264"/>
      <c r="AV101" s="264"/>
      <c r="AW101" s="264"/>
      <c r="AX101" s="264"/>
      <c r="AY101" s="264"/>
      <c r="AZ101" s="264"/>
      <c r="BA101" s="264"/>
      <c r="BB101" s="264"/>
      <c r="BC101" s="264"/>
      <c r="BD101" s="264"/>
      <c r="BE101" s="264"/>
      <c r="BF101" s="264"/>
      <c r="BG101" s="264"/>
    </row>
    <row r="102" spans="1:59" s="6" customFormat="1" x14ac:dyDescent="0.2">
      <c r="A102" s="47">
        <v>3113</v>
      </c>
      <c r="B102" s="48">
        <v>5901</v>
      </c>
      <c r="C102" s="46" t="s">
        <v>407</v>
      </c>
      <c r="D102" s="66"/>
      <c r="E102" s="66"/>
      <c r="F102" s="129"/>
      <c r="G102" s="231">
        <v>1128</v>
      </c>
      <c r="H102" s="237"/>
      <c r="I102" s="251"/>
      <c r="J102" s="251"/>
      <c r="K102" s="264"/>
      <c r="L102" s="264"/>
      <c r="M102" s="264"/>
      <c r="N102" s="264"/>
      <c r="O102" s="264"/>
      <c r="P102" s="264"/>
      <c r="Q102" s="264"/>
      <c r="R102" s="264"/>
      <c r="S102" s="264"/>
      <c r="T102" s="264"/>
      <c r="U102" s="264"/>
      <c r="V102" s="264"/>
      <c r="W102" s="264"/>
      <c r="X102" s="264"/>
      <c r="Y102" s="264"/>
      <c r="Z102" s="264"/>
      <c r="AA102" s="264"/>
      <c r="AB102" s="264"/>
      <c r="AC102" s="264"/>
      <c r="AD102" s="264"/>
      <c r="AE102" s="264"/>
      <c r="AF102" s="264"/>
      <c r="AG102" s="264"/>
      <c r="AH102" s="264"/>
      <c r="AI102" s="264"/>
      <c r="AJ102" s="264"/>
      <c r="AK102" s="264"/>
      <c r="AL102" s="264"/>
      <c r="AM102" s="264"/>
      <c r="AN102" s="264"/>
      <c r="AO102" s="264"/>
      <c r="AP102" s="264"/>
      <c r="AQ102" s="264"/>
      <c r="AR102" s="264"/>
      <c r="AS102" s="264"/>
      <c r="AT102" s="264"/>
      <c r="AU102" s="264"/>
      <c r="AV102" s="264"/>
      <c r="AW102" s="264"/>
      <c r="AX102" s="264"/>
      <c r="AY102" s="264"/>
      <c r="AZ102" s="264"/>
      <c r="BA102" s="264"/>
      <c r="BB102" s="264"/>
      <c r="BC102" s="264"/>
      <c r="BD102" s="264"/>
      <c r="BE102" s="264"/>
      <c r="BF102" s="264"/>
      <c r="BG102" s="264"/>
    </row>
    <row r="103" spans="1:59" s="6" customFormat="1" x14ac:dyDescent="0.2">
      <c r="A103" s="47">
        <v>3113</v>
      </c>
      <c r="B103" s="48">
        <v>5901</v>
      </c>
      <c r="C103" s="46" t="s">
        <v>408</v>
      </c>
      <c r="D103" s="66"/>
      <c r="E103" s="66"/>
      <c r="F103" s="129"/>
      <c r="G103" s="231">
        <v>1000</v>
      </c>
      <c r="H103" s="237"/>
      <c r="I103" s="251"/>
      <c r="J103" s="251"/>
      <c r="K103" s="264"/>
      <c r="L103" s="264"/>
      <c r="M103" s="264"/>
      <c r="N103" s="264"/>
      <c r="O103" s="264"/>
      <c r="P103" s="264"/>
      <c r="Q103" s="264"/>
      <c r="R103" s="264"/>
      <c r="S103" s="264"/>
      <c r="T103" s="264"/>
      <c r="U103" s="264"/>
      <c r="V103" s="264"/>
      <c r="W103" s="264"/>
      <c r="X103" s="264"/>
      <c r="Y103" s="264"/>
      <c r="Z103" s="264"/>
      <c r="AA103" s="264"/>
      <c r="AB103" s="264"/>
      <c r="AC103" s="264"/>
      <c r="AD103" s="264"/>
      <c r="AE103" s="264"/>
      <c r="AF103" s="264"/>
      <c r="AG103" s="264"/>
      <c r="AH103" s="264"/>
      <c r="AI103" s="264"/>
      <c r="AJ103" s="264"/>
      <c r="AK103" s="264"/>
      <c r="AL103" s="264"/>
      <c r="AM103" s="264"/>
      <c r="AN103" s="264"/>
      <c r="AO103" s="264"/>
      <c r="AP103" s="264"/>
      <c r="AQ103" s="264"/>
      <c r="AR103" s="264"/>
      <c r="AS103" s="264"/>
      <c r="AT103" s="264"/>
      <c r="AU103" s="264"/>
      <c r="AV103" s="264"/>
      <c r="AW103" s="264"/>
      <c r="AX103" s="264"/>
      <c r="AY103" s="264"/>
      <c r="AZ103" s="264"/>
      <c r="BA103" s="264"/>
      <c r="BB103" s="264"/>
      <c r="BC103" s="264"/>
      <c r="BD103" s="264"/>
      <c r="BE103" s="264"/>
      <c r="BF103" s="264"/>
      <c r="BG103" s="264"/>
    </row>
    <row r="104" spans="1:59" s="2" customFormat="1" ht="30" x14ac:dyDescent="0.2">
      <c r="A104" s="47">
        <v>3113</v>
      </c>
      <c r="B104" s="48">
        <v>5336</v>
      </c>
      <c r="C104" s="46" t="s">
        <v>198</v>
      </c>
      <c r="D104" s="66">
        <v>98</v>
      </c>
      <c r="E104" s="66">
        <v>98</v>
      </c>
      <c r="F104" s="129">
        <v>97859</v>
      </c>
      <c r="G104" s="231">
        <v>0</v>
      </c>
      <c r="H104" s="237"/>
      <c r="I104" s="258"/>
      <c r="J104" s="258"/>
      <c r="K104" s="259"/>
      <c r="L104" s="259"/>
      <c r="M104" s="259"/>
      <c r="N104" s="259"/>
      <c r="O104" s="259"/>
      <c r="P104" s="259"/>
      <c r="Q104" s="259"/>
      <c r="R104" s="259"/>
      <c r="S104" s="259"/>
      <c r="T104" s="259"/>
      <c r="U104" s="259"/>
      <c r="V104" s="259"/>
      <c r="W104" s="259"/>
      <c r="X104" s="259"/>
      <c r="Y104" s="259"/>
      <c r="Z104" s="259"/>
      <c r="AA104" s="259"/>
      <c r="AB104" s="259"/>
      <c r="AC104" s="259"/>
      <c r="AD104" s="259"/>
      <c r="AE104" s="259"/>
      <c r="AF104" s="259"/>
      <c r="AG104" s="259"/>
      <c r="AH104" s="259"/>
      <c r="AI104" s="259"/>
      <c r="AJ104" s="259"/>
      <c r="AK104" s="259"/>
      <c r="AL104" s="259"/>
      <c r="AM104" s="259"/>
      <c r="AN104" s="259"/>
      <c r="AO104" s="259"/>
      <c r="AP104" s="259"/>
      <c r="AQ104" s="259"/>
      <c r="AR104" s="259"/>
      <c r="AS104" s="259"/>
      <c r="AT104" s="259"/>
      <c r="AU104" s="259"/>
      <c r="AV104" s="259"/>
      <c r="AW104" s="259"/>
      <c r="AX104" s="259"/>
      <c r="AY104" s="259"/>
      <c r="AZ104" s="259"/>
      <c r="BA104" s="259"/>
      <c r="BB104" s="259"/>
      <c r="BC104" s="259"/>
      <c r="BD104" s="259"/>
      <c r="BE104" s="259"/>
      <c r="BF104" s="259"/>
      <c r="BG104" s="259"/>
    </row>
    <row r="105" spans="1:59" s="2" customFormat="1" x14ac:dyDescent="0.2">
      <c r="A105" s="47">
        <v>3113</v>
      </c>
      <c r="B105" s="48">
        <v>5331</v>
      </c>
      <c r="C105" s="46" t="s">
        <v>282</v>
      </c>
      <c r="D105" s="66">
        <v>0</v>
      </c>
      <c r="E105" s="66">
        <v>110.8</v>
      </c>
      <c r="F105" s="129">
        <v>110774.8</v>
      </c>
      <c r="G105" s="231">
        <v>0</v>
      </c>
      <c r="H105" s="237"/>
      <c r="I105" s="258"/>
      <c r="J105" s="258"/>
      <c r="K105" s="259"/>
      <c r="L105" s="259"/>
      <c r="M105" s="259"/>
      <c r="N105" s="259"/>
      <c r="O105" s="259"/>
      <c r="P105" s="259"/>
      <c r="Q105" s="259"/>
      <c r="R105" s="259"/>
      <c r="S105" s="259"/>
      <c r="T105" s="259"/>
      <c r="U105" s="259"/>
      <c r="V105" s="259"/>
      <c r="W105" s="259"/>
      <c r="X105" s="259"/>
      <c r="Y105" s="259"/>
      <c r="Z105" s="259"/>
      <c r="AA105" s="259"/>
      <c r="AB105" s="259"/>
      <c r="AC105" s="259"/>
      <c r="AD105" s="259"/>
      <c r="AE105" s="259"/>
      <c r="AF105" s="259"/>
      <c r="AG105" s="259"/>
      <c r="AH105" s="259"/>
      <c r="AI105" s="259"/>
      <c r="AJ105" s="259"/>
      <c r="AK105" s="259"/>
      <c r="AL105" s="259"/>
      <c r="AM105" s="259"/>
      <c r="AN105" s="259"/>
      <c r="AO105" s="259"/>
      <c r="AP105" s="259"/>
      <c r="AQ105" s="259"/>
      <c r="AR105" s="259"/>
      <c r="AS105" s="259"/>
      <c r="AT105" s="259"/>
      <c r="AU105" s="259"/>
      <c r="AV105" s="259"/>
      <c r="AW105" s="259"/>
      <c r="AX105" s="259"/>
      <c r="AY105" s="259"/>
      <c r="AZ105" s="259"/>
      <c r="BA105" s="259"/>
      <c r="BB105" s="259"/>
      <c r="BC105" s="259"/>
      <c r="BD105" s="259"/>
      <c r="BE105" s="259"/>
      <c r="BF105" s="259"/>
      <c r="BG105" s="259"/>
    </row>
    <row r="106" spans="1:59" s="2" customFormat="1" x14ac:dyDescent="0.2">
      <c r="A106" s="47">
        <v>3113</v>
      </c>
      <c r="B106" s="48">
        <v>5336</v>
      </c>
      <c r="C106" s="58" t="s">
        <v>278</v>
      </c>
      <c r="D106" s="66">
        <v>0</v>
      </c>
      <c r="E106" s="66">
        <v>2104.6999999999998</v>
      </c>
      <c r="F106" s="129">
        <v>2104713.6</v>
      </c>
      <c r="G106" s="231">
        <v>0</v>
      </c>
      <c r="H106" s="237"/>
      <c r="I106" s="258"/>
      <c r="J106" s="258"/>
      <c r="K106" s="259"/>
      <c r="L106" s="259"/>
      <c r="M106" s="259"/>
      <c r="N106" s="259"/>
      <c r="O106" s="259"/>
      <c r="P106" s="259"/>
      <c r="Q106" s="259"/>
      <c r="R106" s="259"/>
      <c r="S106" s="259"/>
      <c r="T106" s="259"/>
      <c r="U106" s="259"/>
      <c r="V106" s="259"/>
      <c r="W106" s="259"/>
      <c r="X106" s="259"/>
      <c r="Y106" s="259"/>
      <c r="Z106" s="259"/>
      <c r="AA106" s="259"/>
      <c r="AB106" s="259"/>
      <c r="AC106" s="259"/>
      <c r="AD106" s="259"/>
      <c r="AE106" s="259"/>
      <c r="AF106" s="259"/>
      <c r="AG106" s="259"/>
      <c r="AH106" s="259"/>
      <c r="AI106" s="259"/>
      <c r="AJ106" s="259"/>
      <c r="AK106" s="259"/>
      <c r="AL106" s="259"/>
      <c r="AM106" s="259"/>
      <c r="AN106" s="259"/>
      <c r="AO106" s="259"/>
      <c r="AP106" s="259"/>
      <c r="AQ106" s="259"/>
      <c r="AR106" s="259"/>
      <c r="AS106" s="259"/>
      <c r="AT106" s="259"/>
      <c r="AU106" s="259"/>
      <c r="AV106" s="259"/>
      <c r="AW106" s="259"/>
      <c r="AX106" s="259"/>
      <c r="AY106" s="259"/>
      <c r="AZ106" s="259"/>
      <c r="BA106" s="259"/>
      <c r="BB106" s="259"/>
      <c r="BC106" s="259"/>
      <c r="BD106" s="259"/>
      <c r="BE106" s="259"/>
      <c r="BF106" s="259"/>
      <c r="BG106" s="259"/>
    </row>
    <row r="107" spans="1:59" s="2" customFormat="1" ht="30" x14ac:dyDescent="0.2">
      <c r="A107" s="47">
        <v>3113</v>
      </c>
      <c r="B107" s="48">
        <v>5336</v>
      </c>
      <c r="C107" s="58" t="s">
        <v>293</v>
      </c>
      <c r="D107" s="66">
        <v>0</v>
      </c>
      <c r="E107" s="66">
        <v>22.4</v>
      </c>
      <c r="F107" s="129">
        <v>22400</v>
      </c>
      <c r="G107" s="231">
        <v>0</v>
      </c>
      <c r="H107" s="237"/>
      <c r="I107" s="258"/>
      <c r="J107" s="258"/>
      <c r="K107" s="259"/>
      <c r="L107" s="259"/>
      <c r="M107" s="259"/>
      <c r="N107" s="259"/>
      <c r="O107" s="259"/>
      <c r="P107" s="259"/>
      <c r="Q107" s="259"/>
      <c r="R107" s="259"/>
      <c r="S107" s="259"/>
      <c r="T107" s="259"/>
      <c r="U107" s="259"/>
      <c r="V107" s="259"/>
      <c r="W107" s="259"/>
      <c r="X107" s="259"/>
      <c r="Y107" s="259"/>
      <c r="Z107" s="259"/>
      <c r="AA107" s="259"/>
      <c r="AB107" s="259"/>
      <c r="AC107" s="259"/>
      <c r="AD107" s="259"/>
      <c r="AE107" s="259"/>
      <c r="AF107" s="259"/>
      <c r="AG107" s="259"/>
      <c r="AH107" s="259"/>
      <c r="AI107" s="259"/>
      <c r="AJ107" s="259"/>
      <c r="AK107" s="259"/>
      <c r="AL107" s="259"/>
      <c r="AM107" s="259"/>
      <c r="AN107" s="259"/>
      <c r="AO107" s="259"/>
      <c r="AP107" s="259"/>
      <c r="AQ107" s="259"/>
      <c r="AR107" s="259"/>
      <c r="AS107" s="259"/>
      <c r="AT107" s="259"/>
      <c r="AU107" s="259"/>
      <c r="AV107" s="259"/>
      <c r="AW107" s="259"/>
      <c r="AX107" s="259"/>
      <c r="AY107" s="259"/>
      <c r="AZ107" s="259"/>
      <c r="BA107" s="259"/>
      <c r="BB107" s="259"/>
      <c r="BC107" s="259"/>
      <c r="BD107" s="259"/>
      <c r="BE107" s="259"/>
      <c r="BF107" s="259"/>
      <c r="BG107" s="259"/>
    </row>
    <row r="108" spans="1:59" s="2" customFormat="1" ht="34.5" customHeight="1" x14ac:dyDescent="0.2">
      <c r="A108" s="47">
        <v>3113</v>
      </c>
      <c r="B108" s="48">
        <v>5336</v>
      </c>
      <c r="C108" s="58" t="s">
        <v>294</v>
      </c>
      <c r="D108" s="66">
        <v>0</v>
      </c>
      <c r="E108" s="66">
        <v>91</v>
      </c>
      <c r="F108" s="129">
        <v>91000</v>
      </c>
      <c r="G108" s="231">
        <v>0</v>
      </c>
      <c r="H108" s="237"/>
      <c r="I108" s="258"/>
      <c r="J108" s="258"/>
      <c r="K108" s="259"/>
      <c r="L108" s="259"/>
      <c r="M108" s="259"/>
      <c r="N108" s="259"/>
      <c r="O108" s="259"/>
      <c r="P108" s="259"/>
      <c r="Q108" s="259"/>
      <c r="R108" s="259"/>
      <c r="S108" s="259"/>
      <c r="T108" s="259"/>
      <c r="U108" s="259"/>
      <c r="V108" s="259"/>
      <c r="W108" s="259"/>
      <c r="X108" s="259"/>
      <c r="Y108" s="259"/>
      <c r="Z108" s="259"/>
      <c r="AA108" s="259"/>
      <c r="AB108" s="259"/>
      <c r="AC108" s="259"/>
      <c r="AD108" s="259"/>
      <c r="AE108" s="259"/>
      <c r="AF108" s="259"/>
      <c r="AG108" s="259"/>
      <c r="AH108" s="259"/>
      <c r="AI108" s="259"/>
      <c r="AJ108" s="259"/>
      <c r="AK108" s="259"/>
      <c r="AL108" s="259"/>
      <c r="AM108" s="259"/>
      <c r="AN108" s="259"/>
      <c r="AO108" s="259"/>
      <c r="AP108" s="259"/>
      <c r="AQ108" s="259"/>
      <c r="AR108" s="259"/>
      <c r="AS108" s="259"/>
      <c r="AT108" s="259"/>
      <c r="AU108" s="259"/>
      <c r="AV108" s="259"/>
      <c r="AW108" s="259"/>
      <c r="AX108" s="259"/>
      <c r="AY108" s="259"/>
      <c r="AZ108" s="259"/>
      <c r="BA108" s="259"/>
      <c r="BB108" s="259"/>
      <c r="BC108" s="259"/>
      <c r="BD108" s="259"/>
      <c r="BE108" s="259"/>
      <c r="BF108" s="259"/>
      <c r="BG108" s="259"/>
    </row>
    <row r="109" spans="1:59" s="2" customFormat="1" ht="30.75" customHeight="1" x14ac:dyDescent="0.2">
      <c r="A109" s="47">
        <v>3113</v>
      </c>
      <c r="B109" s="48">
        <v>5336</v>
      </c>
      <c r="C109" s="58" t="s">
        <v>295</v>
      </c>
      <c r="D109" s="66">
        <v>0</v>
      </c>
      <c r="E109" s="66">
        <v>27</v>
      </c>
      <c r="F109" s="129">
        <v>27000</v>
      </c>
      <c r="G109" s="231">
        <v>0</v>
      </c>
      <c r="H109" s="237"/>
      <c r="I109" s="258"/>
      <c r="J109" s="258"/>
      <c r="K109" s="259"/>
      <c r="L109" s="259"/>
      <c r="M109" s="259"/>
      <c r="N109" s="259"/>
      <c r="O109" s="259"/>
      <c r="P109" s="259"/>
      <c r="Q109" s="259"/>
      <c r="R109" s="259"/>
      <c r="S109" s="259"/>
      <c r="T109" s="259"/>
      <c r="U109" s="259"/>
      <c r="V109" s="259"/>
      <c r="W109" s="259"/>
      <c r="X109" s="259"/>
      <c r="Y109" s="259"/>
      <c r="Z109" s="259"/>
      <c r="AA109" s="259"/>
      <c r="AB109" s="259"/>
      <c r="AC109" s="259"/>
      <c r="AD109" s="259"/>
      <c r="AE109" s="259"/>
      <c r="AF109" s="259"/>
      <c r="AG109" s="259"/>
      <c r="AH109" s="259"/>
      <c r="AI109" s="259"/>
      <c r="AJ109" s="259"/>
      <c r="AK109" s="259"/>
      <c r="AL109" s="259"/>
      <c r="AM109" s="259"/>
      <c r="AN109" s="259"/>
      <c r="AO109" s="259"/>
      <c r="AP109" s="259"/>
      <c r="AQ109" s="259"/>
      <c r="AR109" s="259"/>
      <c r="AS109" s="259"/>
      <c r="AT109" s="259"/>
      <c r="AU109" s="259"/>
      <c r="AV109" s="259"/>
      <c r="AW109" s="259"/>
      <c r="AX109" s="259"/>
      <c r="AY109" s="259"/>
      <c r="AZ109" s="259"/>
      <c r="BA109" s="259"/>
      <c r="BB109" s="259"/>
      <c r="BC109" s="259"/>
      <c r="BD109" s="259"/>
      <c r="BE109" s="259"/>
      <c r="BF109" s="259"/>
      <c r="BG109" s="259"/>
    </row>
    <row r="110" spans="1:59" s="2" customFormat="1" x14ac:dyDescent="0.2">
      <c r="A110" s="47">
        <v>3113</v>
      </c>
      <c r="B110" s="48">
        <v>5336</v>
      </c>
      <c r="C110" s="58" t="s">
        <v>299</v>
      </c>
      <c r="D110" s="66">
        <v>0</v>
      </c>
      <c r="E110" s="66">
        <v>2005.6</v>
      </c>
      <c r="F110" s="129">
        <v>2005600</v>
      </c>
      <c r="G110" s="231">
        <v>0</v>
      </c>
      <c r="H110" s="237"/>
      <c r="I110" s="258"/>
      <c r="J110" s="258"/>
      <c r="K110" s="259"/>
      <c r="L110" s="259"/>
      <c r="M110" s="259"/>
      <c r="N110" s="259"/>
      <c r="O110" s="259"/>
      <c r="P110" s="259"/>
      <c r="Q110" s="259"/>
      <c r="R110" s="259"/>
      <c r="S110" s="259"/>
      <c r="T110" s="259"/>
      <c r="U110" s="259"/>
      <c r="V110" s="259"/>
      <c r="W110" s="259"/>
      <c r="X110" s="259"/>
      <c r="Y110" s="259"/>
      <c r="Z110" s="259"/>
      <c r="AA110" s="259"/>
      <c r="AB110" s="259"/>
      <c r="AC110" s="259"/>
      <c r="AD110" s="259"/>
      <c r="AE110" s="259"/>
      <c r="AF110" s="259"/>
      <c r="AG110" s="259"/>
      <c r="AH110" s="259"/>
      <c r="AI110" s="259"/>
      <c r="AJ110" s="259"/>
      <c r="AK110" s="259"/>
      <c r="AL110" s="259"/>
      <c r="AM110" s="259"/>
      <c r="AN110" s="259"/>
      <c r="AO110" s="259"/>
      <c r="AP110" s="259"/>
      <c r="AQ110" s="259"/>
      <c r="AR110" s="259"/>
      <c r="AS110" s="259"/>
      <c r="AT110" s="259"/>
      <c r="AU110" s="259"/>
      <c r="AV110" s="259"/>
      <c r="AW110" s="259"/>
      <c r="AX110" s="259"/>
      <c r="AY110" s="259"/>
      <c r="AZ110" s="259"/>
      <c r="BA110" s="259"/>
      <c r="BB110" s="259"/>
      <c r="BC110" s="259"/>
      <c r="BD110" s="259"/>
      <c r="BE110" s="259"/>
      <c r="BF110" s="259"/>
      <c r="BG110" s="259"/>
    </row>
    <row r="111" spans="1:59" s="6" customFormat="1" x14ac:dyDescent="0.2">
      <c r="A111" s="47"/>
      <c r="B111" s="48"/>
      <c r="C111" s="46"/>
      <c r="D111" s="66"/>
      <c r="E111" s="66"/>
      <c r="F111" s="129"/>
      <c r="G111" s="231"/>
      <c r="H111" s="237"/>
      <c r="I111" s="251"/>
      <c r="J111" s="251"/>
      <c r="K111" s="264"/>
      <c r="L111" s="264"/>
      <c r="M111" s="264"/>
      <c r="N111" s="264"/>
      <c r="O111" s="264"/>
      <c r="P111" s="264"/>
      <c r="Q111" s="264"/>
      <c r="R111" s="264"/>
      <c r="S111" s="264"/>
      <c r="T111" s="264"/>
      <c r="U111" s="264"/>
      <c r="V111" s="264"/>
      <c r="W111" s="264"/>
      <c r="X111" s="264"/>
      <c r="Y111" s="264"/>
      <c r="Z111" s="264"/>
      <c r="AA111" s="264"/>
      <c r="AB111" s="264"/>
      <c r="AC111" s="264"/>
      <c r="AD111" s="264"/>
      <c r="AE111" s="264"/>
      <c r="AF111" s="264"/>
      <c r="AG111" s="264"/>
      <c r="AH111" s="264"/>
      <c r="AI111" s="264"/>
      <c r="AJ111" s="264"/>
      <c r="AK111" s="264"/>
      <c r="AL111" s="264"/>
      <c r="AM111" s="264"/>
      <c r="AN111" s="264"/>
      <c r="AO111" s="264"/>
      <c r="AP111" s="264"/>
      <c r="AQ111" s="264"/>
      <c r="AR111" s="264"/>
      <c r="AS111" s="264"/>
      <c r="AT111" s="264"/>
      <c r="AU111" s="264"/>
      <c r="AV111" s="264"/>
      <c r="AW111" s="264"/>
      <c r="AX111" s="264"/>
      <c r="AY111" s="264"/>
      <c r="AZ111" s="264"/>
      <c r="BA111" s="264"/>
      <c r="BB111" s="264"/>
      <c r="BC111" s="264"/>
      <c r="BD111" s="264"/>
      <c r="BE111" s="264"/>
      <c r="BF111" s="264"/>
      <c r="BG111" s="264"/>
    </row>
    <row r="112" spans="1:59" x14ac:dyDescent="0.2">
      <c r="A112" s="47">
        <v>3113</v>
      </c>
      <c r="B112" s="48">
        <v>6122</v>
      </c>
      <c r="C112" s="88" t="s">
        <v>263</v>
      </c>
      <c r="D112" s="103">
        <v>600</v>
      </c>
      <c r="E112" s="103">
        <v>600</v>
      </c>
      <c r="F112" s="134">
        <v>0</v>
      </c>
      <c r="G112" s="231">
        <v>0</v>
      </c>
      <c r="H112" s="237"/>
    </row>
    <row r="113" spans="1:59" x14ac:dyDescent="0.2">
      <c r="A113" s="47">
        <v>3113</v>
      </c>
      <c r="B113" s="48">
        <v>6121</v>
      </c>
      <c r="C113" s="88" t="s">
        <v>264</v>
      </c>
      <c r="D113" s="103">
        <v>200</v>
      </c>
      <c r="E113" s="103">
        <v>200</v>
      </c>
      <c r="F113" s="134">
        <v>0</v>
      </c>
      <c r="G113" s="231">
        <v>0</v>
      </c>
      <c r="H113" s="237"/>
    </row>
    <row r="114" spans="1:59" ht="30" x14ac:dyDescent="0.2">
      <c r="A114" s="47">
        <v>3113</v>
      </c>
      <c r="B114" s="48">
        <v>6351</v>
      </c>
      <c r="C114" s="88" t="s">
        <v>317</v>
      </c>
      <c r="D114" s="103">
        <v>0</v>
      </c>
      <c r="E114" s="103">
        <v>0</v>
      </c>
      <c r="F114" s="134">
        <v>379985</v>
      </c>
      <c r="G114" s="231">
        <v>0</v>
      </c>
      <c r="H114" s="237"/>
    </row>
    <row r="115" spans="1:59" s="167" customFormat="1" x14ac:dyDescent="0.2">
      <c r="A115" s="169"/>
      <c r="B115" s="170"/>
      <c r="C115" s="171"/>
      <c r="D115" s="172"/>
      <c r="E115" s="172"/>
      <c r="F115" s="221"/>
      <c r="G115" s="231"/>
      <c r="H115" s="237"/>
      <c r="I115" s="255"/>
      <c r="J115" s="255"/>
      <c r="K115" s="256"/>
      <c r="L115" s="256"/>
      <c r="M115" s="256"/>
      <c r="N115" s="256"/>
      <c r="O115" s="256"/>
      <c r="P115" s="256"/>
      <c r="Q115" s="256"/>
      <c r="R115" s="256"/>
      <c r="S115" s="256"/>
      <c r="T115" s="256"/>
      <c r="U115" s="256"/>
      <c r="V115" s="256"/>
      <c r="W115" s="256"/>
      <c r="X115" s="256"/>
      <c r="Y115" s="256"/>
      <c r="Z115" s="256"/>
      <c r="AA115" s="256"/>
      <c r="AB115" s="256"/>
      <c r="AC115" s="256"/>
      <c r="AD115" s="256"/>
      <c r="AE115" s="256"/>
      <c r="AF115" s="256"/>
      <c r="AG115" s="256"/>
      <c r="AH115" s="256"/>
      <c r="AI115" s="256"/>
      <c r="AJ115" s="256"/>
      <c r="AK115" s="256"/>
      <c r="AL115" s="256"/>
      <c r="AM115" s="256"/>
      <c r="AN115" s="256"/>
      <c r="AO115" s="256"/>
      <c r="AP115" s="256"/>
      <c r="AQ115" s="256"/>
      <c r="AR115" s="256"/>
      <c r="AS115" s="256"/>
      <c r="AT115" s="256"/>
      <c r="AU115" s="256"/>
      <c r="AV115" s="256"/>
      <c r="AW115" s="256"/>
      <c r="AX115" s="256"/>
      <c r="AY115" s="256"/>
      <c r="AZ115" s="256"/>
      <c r="BA115" s="256"/>
      <c r="BB115" s="256"/>
      <c r="BC115" s="256"/>
      <c r="BD115" s="256"/>
      <c r="BE115" s="256"/>
      <c r="BF115" s="256"/>
      <c r="BG115" s="256"/>
    </row>
    <row r="116" spans="1:59" s="6" customFormat="1" ht="15.75" x14ac:dyDescent="0.25">
      <c r="A116" s="47">
        <v>3113</v>
      </c>
      <c r="B116" s="48">
        <v>6121</v>
      </c>
      <c r="C116" s="82" t="s">
        <v>215</v>
      </c>
      <c r="D116" s="66"/>
      <c r="E116" s="66"/>
      <c r="F116" s="222"/>
      <c r="G116" s="231"/>
      <c r="H116" s="237"/>
      <c r="I116" s="251"/>
      <c r="J116" s="251"/>
      <c r="K116" s="264"/>
      <c r="L116" s="264"/>
      <c r="M116" s="264"/>
      <c r="N116" s="264"/>
      <c r="O116" s="264"/>
      <c r="P116" s="264"/>
      <c r="Q116" s="264"/>
      <c r="R116" s="264"/>
      <c r="S116" s="264"/>
      <c r="T116" s="264"/>
      <c r="U116" s="264"/>
      <c r="V116" s="264"/>
      <c r="W116" s="264"/>
      <c r="X116" s="264"/>
      <c r="Y116" s="264"/>
      <c r="Z116" s="264"/>
      <c r="AA116" s="264"/>
      <c r="AB116" s="264"/>
      <c r="AC116" s="264"/>
      <c r="AD116" s="264"/>
      <c r="AE116" s="264"/>
      <c r="AF116" s="264"/>
      <c r="AG116" s="264"/>
      <c r="AH116" s="264"/>
      <c r="AI116" s="264"/>
      <c r="AJ116" s="264"/>
      <c r="AK116" s="264"/>
      <c r="AL116" s="264"/>
      <c r="AM116" s="264"/>
      <c r="AN116" s="264"/>
      <c r="AO116" s="264"/>
      <c r="AP116" s="264"/>
      <c r="AQ116" s="264"/>
      <c r="AR116" s="264"/>
      <c r="AS116" s="264"/>
      <c r="AT116" s="264"/>
      <c r="AU116" s="264"/>
      <c r="AV116" s="264"/>
      <c r="AW116" s="264"/>
      <c r="AX116" s="264"/>
      <c r="AY116" s="264"/>
      <c r="AZ116" s="264"/>
      <c r="BA116" s="264"/>
      <c r="BB116" s="264"/>
      <c r="BC116" s="264"/>
      <c r="BD116" s="264"/>
      <c r="BE116" s="264"/>
      <c r="BF116" s="264"/>
      <c r="BG116" s="264"/>
    </row>
    <row r="117" spans="1:59" x14ac:dyDescent="0.2">
      <c r="A117" s="47">
        <v>3113</v>
      </c>
      <c r="B117" s="48">
        <v>6121</v>
      </c>
      <c r="C117" s="88" t="s">
        <v>134</v>
      </c>
      <c r="D117" s="66"/>
      <c r="E117" s="66"/>
      <c r="F117" s="129"/>
      <c r="G117" s="231"/>
      <c r="H117" s="237"/>
    </row>
    <row r="118" spans="1:59" ht="30.75" x14ac:dyDescent="0.2">
      <c r="A118" s="47"/>
      <c r="B118" s="48"/>
      <c r="C118" s="88" t="s">
        <v>381</v>
      </c>
      <c r="D118" s="66"/>
      <c r="E118" s="66"/>
      <c r="F118" s="129"/>
      <c r="G118" s="231"/>
      <c r="H118" s="237"/>
    </row>
    <row r="119" spans="1:59" x14ac:dyDescent="0.2">
      <c r="A119" s="47"/>
      <c r="B119" s="48"/>
      <c r="C119" s="88" t="s">
        <v>249</v>
      </c>
      <c r="D119" s="103">
        <v>31800</v>
      </c>
      <c r="E119" s="103">
        <f>31800</f>
        <v>31800</v>
      </c>
      <c r="F119" s="134">
        <v>0</v>
      </c>
      <c r="G119" s="230">
        <v>44000</v>
      </c>
      <c r="H119" s="237"/>
    </row>
    <row r="120" spans="1:59" x14ac:dyDescent="0.2">
      <c r="A120" s="47"/>
      <c r="B120" s="48"/>
      <c r="C120" s="88" t="s">
        <v>367</v>
      </c>
      <c r="D120" s="103"/>
      <c r="E120" s="103"/>
      <c r="F120" s="134"/>
      <c r="G120" s="230">
        <v>20000</v>
      </c>
      <c r="H120" s="237"/>
    </row>
    <row r="121" spans="1:59" s="6" customFormat="1" x14ac:dyDescent="0.2">
      <c r="A121" s="47"/>
      <c r="B121" s="48"/>
      <c r="C121" s="88" t="s">
        <v>280</v>
      </c>
      <c r="D121" s="103">
        <v>0</v>
      </c>
      <c r="E121" s="103">
        <f>10000+21799.5</f>
        <v>31799.5</v>
      </c>
      <c r="F121" s="134">
        <f>24187614.04+5587988.39</f>
        <v>29775602.43</v>
      </c>
      <c r="G121" s="230">
        <v>0</v>
      </c>
      <c r="H121" s="237"/>
      <c r="I121" s="251"/>
      <c r="J121" s="251"/>
      <c r="K121" s="264"/>
      <c r="L121" s="264"/>
      <c r="M121" s="264"/>
      <c r="N121" s="264"/>
      <c r="O121" s="264"/>
      <c r="P121" s="264"/>
      <c r="Q121" s="264"/>
      <c r="R121" s="264"/>
      <c r="S121" s="264"/>
      <c r="T121" s="264"/>
      <c r="U121" s="264"/>
      <c r="V121" s="264"/>
      <c r="W121" s="264"/>
      <c r="X121" s="264"/>
      <c r="Y121" s="264"/>
      <c r="Z121" s="264"/>
      <c r="AA121" s="264"/>
      <c r="AB121" s="264"/>
      <c r="AC121" s="264"/>
      <c r="AD121" s="264"/>
      <c r="AE121" s="264"/>
      <c r="AF121" s="264"/>
      <c r="AG121" s="264"/>
      <c r="AH121" s="264"/>
      <c r="AI121" s="264"/>
      <c r="AJ121" s="264"/>
      <c r="AK121" s="264"/>
      <c r="AL121" s="264"/>
      <c r="AM121" s="264"/>
      <c r="AN121" s="264"/>
      <c r="AO121" s="264"/>
      <c r="AP121" s="264"/>
      <c r="AQ121" s="264"/>
      <c r="AR121" s="264"/>
      <c r="AS121" s="264"/>
      <c r="AT121" s="264"/>
      <c r="AU121" s="264"/>
      <c r="AV121" s="264"/>
      <c r="AW121" s="264"/>
      <c r="AX121" s="264"/>
      <c r="AY121" s="264"/>
      <c r="AZ121" s="264"/>
      <c r="BA121" s="264"/>
      <c r="BB121" s="264"/>
      <c r="BC121" s="264"/>
      <c r="BD121" s="264"/>
      <c r="BE121" s="264"/>
      <c r="BF121" s="264"/>
      <c r="BG121" s="264"/>
    </row>
    <row r="122" spans="1:59" s="6" customFormat="1" x14ac:dyDescent="0.2">
      <c r="A122" s="47"/>
      <c r="B122" s="48"/>
      <c r="C122" s="88" t="s">
        <v>305</v>
      </c>
      <c r="D122" s="103">
        <v>0</v>
      </c>
      <c r="E122" s="103">
        <v>10000</v>
      </c>
      <c r="F122" s="134">
        <v>0</v>
      </c>
      <c r="G122" s="230">
        <v>10000</v>
      </c>
      <c r="H122" s="237"/>
      <c r="I122" s="257"/>
      <c r="J122" s="251"/>
      <c r="K122" s="264"/>
      <c r="L122" s="264"/>
      <c r="M122" s="264"/>
      <c r="N122" s="264"/>
      <c r="O122" s="264"/>
      <c r="P122" s="264"/>
      <c r="Q122" s="264"/>
      <c r="R122" s="264"/>
      <c r="S122" s="264"/>
      <c r="T122" s="264"/>
      <c r="U122" s="264"/>
      <c r="V122" s="264"/>
      <c r="W122" s="264"/>
      <c r="X122" s="264"/>
      <c r="Y122" s="264"/>
      <c r="Z122" s="264"/>
      <c r="AA122" s="264"/>
      <c r="AB122" s="264"/>
      <c r="AC122" s="264"/>
      <c r="AD122" s="264"/>
      <c r="AE122" s="264"/>
      <c r="AF122" s="264"/>
      <c r="AG122" s="264"/>
      <c r="AH122" s="264"/>
      <c r="AI122" s="264"/>
      <c r="AJ122" s="264"/>
      <c r="AK122" s="264"/>
      <c r="AL122" s="264"/>
      <c r="AM122" s="264"/>
      <c r="AN122" s="264"/>
      <c r="AO122" s="264"/>
      <c r="AP122" s="264"/>
      <c r="AQ122" s="264"/>
      <c r="AR122" s="264"/>
      <c r="AS122" s="264"/>
      <c r="AT122" s="264"/>
      <c r="AU122" s="264"/>
      <c r="AV122" s="264"/>
      <c r="AW122" s="264"/>
      <c r="AX122" s="264"/>
      <c r="AY122" s="264"/>
      <c r="AZ122" s="264"/>
      <c r="BA122" s="264"/>
      <c r="BB122" s="264"/>
      <c r="BC122" s="264"/>
      <c r="BD122" s="264"/>
      <c r="BE122" s="264"/>
      <c r="BF122" s="264"/>
      <c r="BG122" s="264"/>
    </row>
    <row r="123" spans="1:59" s="6" customFormat="1" x14ac:dyDescent="0.2">
      <c r="A123" s="47"/>
      <c r="B123" s="48"/>
      <c r="C123" s="88" t="s">
        <v>306</v>
      </c>
      <c r="D123" s="103">
        <v>0</v>
      </c>
      <c r="E123" s="103">
        <v>44000</v>
      </c>
      <c r="F123" s="134">
        <v>0</v>
      </c>
      <c r="G123" s="230">
        <v>0</v>
      </c>
      <c r="H123" s="237"/>
      <c r="I123" s="162"/>
      <c r="J123" s="251"/>
      <c r="K123" s="264"/>
      <c r="L123" s="264"/>
      <c r="M123" s="264"/>
      <c r="N123" s="264"/>
      <c r="O123" s="264"/>
      <c r="P123" s="264"/>
      <c r="Q123" s="264"/>
      <c r="R123" s="264"/>
      <c r="S123" s="264"/>
      <c r="T123" s="264"/>
      <c r="U123" s="264"/>
      <c r="V123" s="264"/>
      <c r="W123" s="264"/>
      <c r="X123" s="264"/>
      <c r="Y123" s="264"/>
      <c r="Z123" s="264"/>
      <c r="AA123" s="264"/>
      <c r="AB123" s="264"/>
      <c r="AC123" s="264"/>
      <c r="AD123" s="264"/>
      <c r="AE123" s="264"/>
      <c r="AF123" s="264"/>
      <c r="AG123" s="264"/>
      <c r="AH123" s="264"/>
      <c r="AI123" s="264"/>
      <c r="AJ123" s="264"/>
      <c r="AK123" s="264"/>
      <c r="AL123" s="264"/>
      <c r="AM123" s="264"/>
      <c r="AN123" s="264"/>
      <c r="AO123" s="264"/>
      <c r="AP123" s="264"/>
      <c r="AQ123" s="264"/>
      <c r="AR123" s="264"/>
      <c r="AS123" s="264"/>
      <c r="AT123" s="264"/>
      <c r="AU123" s="264"/>
      <c r="AV123" s="264"/>
      <c r="AW123" s="264"/>
      <c r="AX123" s="264"/>
      <c r="AY123" s="264"/>
      <c r="AZ123" s="264"/>
      <c r="BA123" s="264"/>
      <c r="BB123" s="264"/>
      <c r="BC123" s="264"/>
      <c r="BD123" s="264"/>
      <c r="BE123" s="264"/>
      <c r="BF123" s="264"/>
      <c r="BG123" s="264"/>
    </row>
    <row r="124" spans="1:59" s="6" customFormat="1" x14ac:dyDescent="0.2">
      <c r="A124" s="47"/>
      <c r="B124" s="48"/>
      <c r="C124" s="88"/>
      <c r="D124" s="103"/>
      <c r="E124" s="103"/>
      <c r="F124" s="134"/>
      <c r="G124" s="230"/>
      <c r="H124" s="237"/>
      <c r="I124" s="251"/>
      <c r="J124" s="251"/>
      <c r="K124" s="264"/>
      <c r="L124" s="264"/>
      <c r="M124" s="264"/>
      <c r="N124" s="264"/>
      <c r="O124" s="264"/>
      <c r="P124" s="264"/>
      <c r="Q124" s="264"/>
      <c r="R124" s="264"/>
      <c r="S124" s="264"/>
      <c r="T124" s="264"/>
      <c r="U124" s="264"/>
      <c r="V124" s="264"/>
      <c r="W124" s="264"/>
      <c r="X124" s="264"/>
      <c r="Y124" s="264"/>
      <c r="Z124" s="264"/>
      <c r="AA124" s="264"/>
      <c r="AB124" s="264"/>
      <c r="AC124" s="264"/>
      <c r="AD124" s="264"/>
      <c r="AE124" s="264"/>
      <c r="AF124" s="264"/>
      <c r="AG124" s="264"/>
      <c r="AH124" s="264"/>
      <c r="AI124" s="264"/>
      <c r="AJ124" s="264"/>
      <c r="AK124" s="264"/>
      <c r="AL124" s="264"/>
      <c r="AM124" s="264"/>
      <c r="AN124" s="264"/>
      <c r="AO124" s="264"/>
      <c r="AP124" s="264"/>
      <c r="AQ124" s="264"/>
      <c r="AR124" s="264"/>
      <c r="AS124" s="264"/>
      <c r="AT124" s="264"/>
      <c r="AU124" s="264"/>
      <c r="AV124" s="264"/>
      <c r="AW124" s="264"/>
      <c r="AX124" s="264"/>
      <c r="AY124" s="264"/>
      <c r="AZ124" s="264"/>
      <c r="BA124" s="264"/>
      <c r="BB124" s="264"/>
      <c r="BC124" s="264"/>
      <c r="BD124" s="264"/>
      <c r="BE124" s="264"/>
      <c r="BF124" s="264"/>
      <c r="BG124" s="264"/>
    </row>
    <row r="125" spans="1:59" s="6" customFormat="1" ht="15.75" x14ac:dyDescent="0.25">
      <c r="A125" s="47"/>
      <c r="B125" s="48"/>
      <c r="C125" s="243" t="s">
        <v>365</v>
      </c>
      <c r="D125" s="103"/>
      <c r="E125" s="103"/>
      <c r="F125" s="134"/>
      <c r="G125" s="230">
        <v>2000</v>
      </c>
      <c r="H125" s="237"/>
      <c r="I125" s="257"/>
      <c r="J125" s="251"/>
      <c r="K125" s="264"/>
      <c r="L125" s="264"/>
      <c r="M125" s="264"/>
      <c r="N125" s="264"/>
      <c r="O125" s="264"/>
      <c r="P125" s="264"/>
      <c r="Q125" s="264"/>
      <c r="R125" s="264"/>
      <c r="S125" s="264"/>
      <c r="T125" s="264"/>
      <c r="U125" s="264"/>
      <c r="V125" s="264"/>
      <c r="W125" s="264"/>
      <c r="X125" s="264"/>
      <c r="Y125" s="264"/>
      <c r="Z125" s="264"/>
      <c r="AA125" s="264"/>
      <c r="AB125" s="264"/>
      <c r="AC125" s="264"/>
      <c r="AD125" s="264"/>
      <c r="AE125" s="264"/>
      <c r="AF125" s="264"/>
      <c r="AG125" s="264"/>
      <c r="AH125" s="264"/>
      <c r="AI125" s="264"/>
      <c r="AJ125" s="264"/>
      <c r="AK125" s="264"/>
      <c r="AL125" s="264"/>
      <c r="AM125" s="264"/>
      <c r="AN125" s="264"/>
      <c r="AO125" s="264"/>
      <c r="AP125" s="264"/>
      <c r="AQ125" s="264"/>
      <c r="AR125" s="264"/>
      <c r="AS125" s="264"/>
      <c r="AT125" s="264"/>
      <c r="AU125" s="264"/>
      <c r="AV125" s="264"/>
      <c r="AW125" s="264"/>
      <c r="AX125" s="264"/>
      <c r="AY125" s="264"/>
      <c r="AZ125" s="264"/>
      <c r="BA125" s="264"/>
      <c r="BB125" s="264"/>
      <c r="BC125" s="264"/>
      <c r="BD125" s="264"/>
      <c r="BE125" s="264"/>
      <c r="BF125" s="264"/>
      <c r="BG125" s="264"/>
    </row>
    <row r="126" spans="1:59" s="6" customFormat="1" ht="32.25" customHeight="1" x14ac:dyDescent="0.25">
      <c r="A126" s="47"/>
      <c r="B126" s="48"/>
      <c r="C126" s="88" t="s">
        <v>366</v>
      </c>
      <c r="D126" s="103"/>
      <c r="E126" s="103"/>
      <c r="F126" s="134"/>
      <c r="G126" s="230"/>
      <c r="H126" s="237"/>
      <c r="I126" s="251"/>
      <c r="J126" s="251"/>
      <c r="K126" s="264"/>
      <c r="L126" s="264"/>
      <c r="M126" s="264"/>
      <c r="N126" s="264"/>
      <c r="O126" s="264"/>
      <c r="P126" s="264"/>
      <c r="Q126" s="264"/>
      <c r="R126" s="264"/>
      <c r="S126" s="264"/>
      <c r="T126" s="264"/>
      <c r="U126" s="264"/>
      <c r="V126" s="264"/>
      <c r="W126" s="264"/>
      <c r="X126" s="264"/>
      <c r="Y126" s="264"/>
      <c r="Z126" s="264"/>
      <c r="AA126" s="264"/>
      <c r="AB126" s="264"/>
      <c r="AC126" s="264"/>
      <c r="AD126" s="264"/>
      <c r="AE126" s="264"/>
      <c r="AF126" s="264"/>
      <c r="AG126" s="264"/>
      <c r="AH126" s="264"/>
      <c r="AI126" s="264"/>
      <c r="AJ126" s="264"/>
      <c r="AK126" s="264"/>
      <c r="AL126" s="264"/>
      <c r="AM126" s="264"/>
      <c r="AN126" s="264"/>
      <c r="AO126" s="264"/>
      <c r="AP126" s="264"/>
      <c r="AQ126" s="264"/>
      <c r="AR126" s="264"/>
      <c r="AS126" s="264"/>
      <c r="AT126" s="264"/>
      <c r="AU126" s="264"/>
      <c r="AV126" s="264"/>
      <c r="AW126" s="264"/>
      <c r="AX126" s="264"/>
      <c r="AY126" s="264"/>
      <c r="AZ126" s="264"/>
      <c r="BA126" s="264"/>
      <c r="BB126" s="264"/>
      <c r="BC126" s="264"/>
      <c r="BD126" s="264"/>
      <c r="BE126" s="264"/>
      <c r="BF126" s="264"/>
      <c r="BG126" s="264"/>
    </row>
    <row r="127" spans="1:59" s="6" customFormat="1" ht="21" customHeight="1" x14ac:dyDescent="0.25">
      <c r="A127" s="47"/>
      <c r="B127" s="48"/>
      <c r="C127" s="88" t="s">
        <v>382</v>
      </c>
      <c r="D127" s="103"/>
      <c r="E127" s="103"/>
      <c r="F127" s="134"/>
      <c r="G127" s="230"/>
      <c r="H127" s="237"/>
      <c r="I127" s="251"/>
      <c r="J127" s="251"/>
      <c r="K127" s="264"/>
      <c r="L127" s="264"/>
      <c r="M127" s="264"/>
      <c r="N127" s="264"/>
      <c r="O127" s="264"/>
      <c r="P127" s="264"/>
      <c r="Q127" s="264"/>
      <c r="R127" s="264"/>
      <c r="S127" s="264"/>
      <c r="T127" s="264"/>
      <c r="U127" s="264"/>
      <c r="V127" s="264"/>
      <c r="W127" s="264"/>
      <c r="X127" s="264"/>
      <c r="Y127" s="264"/>
      <c r="Z127" s="264"/>
      <c r="AA127" s="264"/>
      <c r="AB127" s="264"/>
      <c r="AC127" s="264"/>
      <c r="AD127" s="264"/>
      <c r="AE127" s="264"/>
      <c r="AF127" s="264"/>
      <c r="AG127" s="264"/>
      <c r="AH127" s="264"/>
      <c r="AI127" s="264"/>
      <c r="AJ127" s="264"/>
      <c r="AK127" s="264"/>
      <c r="AL127" s="264"/>
      <c r="AM127" s="264"/>
      <c r="AN127" s="264"/>
      <c r="AO127" s="264"/>
      <c r="AP127" s="264"/>
      <c r="AQ127" s="264"/>
      <c r="AR127" s="264"/>
      <c r="AS127" s="264"/>
      <c r="AT127" s="264"/>
      <c r="AU127" s="264"/>
      <c r="AV127" s="264"/>
      <c r="AW127" s="264"/>
      <c r="AX127" s="264"/>
      <c r="AY127" s="264"/>
      <c r="AZ127" s="264"/>
      <c r="BA127" s="264"/>
      <c r="BB127" s="264"/>
      <c r="BC127" s="264"/>
      <c r="BD127" s="264"/>
      <c r="BE127" s="264"/>
      <c r="BF127" s="264"/>
      <c r="BG127" s="264"/>
    </row>
    <row r="128" spans="1:59" s="6" customFormat="1" ht="15.75" x14ac:dyDescent="0.25">
      <c r="A128" s="27">
        <v>3113</v>
      </c>
      <c r="B128" s="28"/>
      <c r="C128" s="59" t="s">
        <v>57</v>
      </c>
      <c r="D128" s="67">
        <f>SUM(D95:D127)</f>
        <v>43758</v>
      </c>
      <c r="E128" s="67">
        <f>SUM(E95:E127)</f>
        <v>133919</v>
      </c>
      <c r="F128" s="130">
        <f>SUM(F95:F127)</f>
        <v>41221650.379999995</v>
      </c>
      <c r="G128" s="233">
        <f>SUM(G95:G127)</f>
        <v>97338</v>
      </c>
      <c r="H128" s="239">
        <f>G128</f>
        <v>97338</v>
      </c>
      <c r="I128" s="251"/>
      <c r="J128" s="251"/>
      <c r="K128" s="264"/>
      <c r="L128" s="264"/>
      <c r="M128" s="264"/>
      <c r="N128" s="264"/>
      <c r="O128" s="264"/>
      <c r="P128" s="264"/>
      <c r="Q128" s="264"/>
      <c r="R128" s="264"/>
      <c r="S128" s="264"/>
      <c r="T128" s="264"/>
      <c r="U128" s="264"/>
      <c r="V128" s="264"/>
      <c r="W128" s="264"/>
      <c r="X128" s="264"/>
      <c r="Y128" s="264"/>
      <c r="Z128" s="264"/>
      <c r="AA128" s="264"/>
      <c r="AB128" s="264"/>
      <c r="AC128" s="264"/>
      <c r="AD128" s="264"/>
      <c r="AE128" s="264"/>
      <c r="AF128" s="264"/>
      <c r="AG128" s="264"/>
      <c r="AH128" s="264"/>
      <c r="AI128" s="264"/>
      <c r="AJ128" s="264"/>
      <c r="AK128" s="264"/>
      <c r="AL128" s="264"/>
      <c r="AM128" s="264"/>
      <c r="AN128" s="264"/>
      <c r="AO128" s="264"/>
      <c r="AP128" s="264"/>
      <c r="AQ128" s="264"/>
      <c r="AR128" s="264"/>
      <c r="AS128" s="264"/>
      <c r="AT128" s="264"/>
      <c r="AU128" s="264"/>
      <c r="AV128" s="264"/>
      <c r="AW128" s="264"/>
      <c r="AX128" s="264"/>
      <c r="AY128" s="264"/>
      <c r="AZ128" s="264"/>
      <c r="BA128" s="264"/>
      <c r="BB128" s="264"/>
      <c r="BC128" s="264"/>
      <c r="BD128" s="264"/>
      <c r="BE128" s="264"/>
      <c r="BF128" s="264"/>
      <c r="BG128" s="264"/>
    </row>
    <row r="129" spans="1:59" ht="15.75" x14ac:dyDescent="0.25">
      <c r="A129" s="24"/>
      <c r="B129" s="25"/>
      <c r="C129" s="57"/>
      <c r="D129" s="66"/>
      <c r="E129" s="66"/>
      <c r="F129" s="129"/>
      <c r="G129" s="231"/>
      <c r="H129" s="237"/>
    </row>
    <row r="130" spans="1:59" x14ac:dyDescent="0.2">
      <c r="A130" s="26">
        <v>3314</v>
      </c>
      <c r="B130" s="51">
        <v>5011</v>
      </c>
      <c r="C130" s="54" t="s">
        <v>14</v>
      </c>
      <c r="D130" s="66">
        <v>550</v>
      </c>
      <c r="E130" s="66">
        <v>550</v>
      </c>
      <c r="F130" s="129">
        <v>443646</v>
      </c>
      <c r="G130" s="231">
        <v>580</v>
      </c>
      <c r="H130" s="237"/>
    </row>
    <row r="131" spans="1:59" s="2" customFormat="1" x14ac:dyDescent="0.2">
      <c r="A131" s="52">
        <v>3314</v>
      </c>
      <c r="B131" s="53">
        <v>5021</v>
      </c>
      <c r="C131" s="90" t="s">
        <v>17</v>
      </c>
      <c r="D131" s="66">
        <v>30</v>
      </c>
      <c r="E131" s="66">
        <v>30</v>
      </c>
      <c r="F131" s="129">
        <v>14040</v>
      </c>
      <c r="G131" s="231">
        <v>32</v>
      </c>
      <c r="H131" s="237"/>
      <c r="I131" s="258"/>
      <c r="J131" s="258"/>
      <c r="K131" s="259"/>
      <c r="L131" s="259"/>
      <c r="M131" s="259"/>
      <c r="N131" s="259"/>
      <c r="O131" s="259"/>
      <c r="P131" s="259"/>
      <c r="Q131" s="259"/>
      <c r="R131" s="259"/>
      <c r="S131" s="259"/>
      <c r="T131" s="259"/>
      <c r="U131" s="259"/>
      <c r="V131" s="259"/>
      <c r="W131" s="259"/>
      <c r="X131" s="259"/>
      <c r="Y131" s="259"/>
      <c r="Z131" s="259"/>
      <c r="AA131" s="259"/>
      <c r="AB131" s="259"/>
      <c r="AC131" s="259"/>
      <c r="AD131" s="259"/>
      <c r="AE131" s="259"/>
      <c r="AF131" s="259"/>
      <c r="AG131" s="259"/>
      <c r="AH131" s="259"/>
      <c r="AI131" s="259"/>
      <c r="AJ131" s="259"/>
      <c r="AK131" s="259"/>
      <c r="AL131" s="259"/>
      <c r="AM131" s="259"/>
      <c r="AN131" s="259"/>
      <c r="AO131" s="259"/>
      <c r="AP131" s="259"/>
      <c r="AQ131" s="259"/>
      <c r="AR131" s="259"/>
      <c r="AS131" s="259"/>
      <c r="AT131" s="259"/>
      <c r="AU131" s="259"/>
      <c r="AV131" s="259"/>
      <c r="AW131" s="259"/>
      <c r="AX131" s="259"/>
      <c r="AY131" s="259"/>
      <c r="AZ131" s="259"/>
      <c r="BA131" s="259"/>
      <c r="BB131" s="259"/>
      <c r="BC131" s="259"/>
      <c r="BD131" s="259"/>
      <c r="BE131" s="259"/>
      <c r="BF131" s="259"/>
      <c r="BG131" s="259"/>
    </row>
    <row r="132" spans="1:59" s="2" customFormat="1" x14ac:dyDescent="0.2">
      <c r="A132" s="52">
        <v>3314</v>
      </c>
      <c r="B132" s="53">
        <v>5031</v>
      </c>
      <c r="C132" s="46" t="s">
        <v>129</v>
      </c>
      <c r="D132" s="66">
        <v>136</v>
      </c>
      <c r="E132" s="66">
        <v>136</v>
      </c>
      <c r="F132" s="129">
        <v>110029</v>
      </c>
      <c r="G132" s="231">
        <v>144</v>
      </c>
      <c r="H132" s="237"/>
      <c r="I132" s="258"/>
      <c r="J132" s="258"/>
      <c r="K132" s="259"/>
      <c r="L132" s="259"/>
      <c r="M132" s="259"/>
      <c r="N132" s="259"/>
      <c r="O132" s="259"/>
      <c r="P132" s="259"/>
      <c r="Q132" s="259"/>
      <c r="R132" s="259"/>
      <c r="S132" s="259"/>
      <c r="T132" s="259"/>
      <c r="U132" s="259"/>
      <c r="V132" s="259"/>
      <c r="W132" s="259"/>
      <c r="X132" s="259"/>
      <c r="Y132" s="259"/>
      <c r="Z132" s="259"/>
      <c r="AA132" s="259"/>
      <c r="AB132" s="259"/>
      <c r="AC132" s="259"/>
      <c r="AD132" s="259"/>
      <c r="AE132" s="259"/>
      <c r="AF132" s="259"/>
      <c r="AG132" s="259"/>
      <c r="AH132" s="259"/>
      <c r="AI132" s="259"/>
      <c r="AJ132" s="259"/>
      <c r="AK132" s="259"/>
      <c r="AL132" s="259"/>
      <c r="AM132" s="259"/>
      <c r="AN132" s="259"/>
      <c r="AO132" s="259"/>
      <c r="AP132" s="259"/>
      <c r="AQ132" s="259"/>
      <c r="AR132" s="259"/>
      <c r="AS132" s="259"/>
      <c r="AT132" s="259"/>
      <c r="AU132" s="259"/>
      <c r="AV132" s="259"/>
      <c r="AW132" s="259"/>
      <c r="AX132" s="259"/>
      <c r="AY132" s="259"/>
      <c r="AZ132" s="259"/>
      <c r="BA132" s="259"/>
      <c r="BB132" s="259"/>
      <c r="BC132" s="259"/>
      <c r="BD132" s="259"/>
      <c r="BE132" s="259"/>
      <c r="BF132" s="259"/>
      <c r="BG132" s="259"/>
    </row>
    <row r="133" spans="1:59" s="2" customFormat="1" x14ac:dyDescent="0.2">
      <c r="A133" s="52">
        <v>3314</v>
      </c>
      <c r="B133" s="53">
        <v>5032</v>
      </c>
      <c r="C133" s="90" t="s">
        <v>33</v>
      </c>
      <c r="D133" s="66">
        <v>50</v>
      </c>
      <c r="E133" s="66">
        <v>50</v>
      </c>
      <c r="F133" s="129">
        <v>39932</v>
      </c>
      <c r="G133" s="231">
        <v>52</v>
      </c>
      <c r="H133" s="237"/>
      <c r="I133" s="258"/>
      <c r="J133" s="258"/>
      <c r="K133" s="259"/>
      <c r="L133" s="259"/>
      <c r="M133" s="259"/>
      <c r="N133" s="259"/>
      <c r="O133" s="259"/>
      <c r="P133" s="259"/>
      <c r="Q133" s="259"/>
      <c r="R133" s="259"/>
      <c r="S133" s="259"/>
      <c r="T133" s="259"/>
      <c r="U133" s="259"/>
      <c r="V133" s="259"/>
      <c r="W133" s="259"/>
      <c r="X133" s="259"/>
      <c r="Y133" s="259"/>
      <c r="Z133" s="259"/>
      <c r="AA133" s="259"/>
      <c r="AB133" s="259"/>
      <c r="AC133" s="259"/>
      <c r="AD133" s="259"/>
      <c r="AE133" s="259"/>
      <c r="AF133" s="259"/>
      <c r="AG133" s="259"/>
      <c r="AH133" s="259"/>
      <c r="AI133" s="259"/>
      <c r="AJ133" s="259"/>
      <c r="AK133" s="259"/>
      <c r="AL133" s="259"/>
      <c r="AM133" s="259"/>
      <c r="AN133" s="259"/>
      <c r="AO133" s="259"/>
      <c r="AP133" s="259"/>
      <c r="AQ133" s="259"/>
      <c r="AR133" s="259"/>
      <c r="AS133" s="259"/>
      <c r="AT133" s="259"/>
      <c r="AU133" s="259"/>
      <c r="AV133" s="259"/>
      <c r="AW133" s="259"/>
      <c r="AX133" s="259"/>
      <c r="AY133" s="259"/>
      <c r="AZ133" s="259"/>
      <c r="BA133" s="259"/>
      <c r="BB133" s="259"/>
      <c r="BC133" s="259"/>
      <c r="BD133" s="259"/>
      <c r="BE133" s="259"/>
      <c r="BF133" s="259"/>
      <c r="BG133" s="259"/>
    </row>
    <row r="134" spans="1:59" s="2" customFormat="1" x14ac:dyDescent="0.2">
      <c r="A134" s="52">
        <v>3314</v>
      </c>
      <c r="B134" s="53">
        <v>5136</v>
      </c>
      <c r="C134" s="46" t="s">
        <v>166</v>
      </c>
      <c r="D134" s="66">
        <v>90</v>
      </c>
      <c r="E134" s="66">
        <v>90</v>
      </c>
      <c r="F134" s="129">
        <v>80125.490000000005</v>
      </c>
      <c r="G134" s="231">
        <v>90</v>
      </c>
      <c r="H134" s="237"/>
      <c r="I134" s="258"/>
      <c r="J134" s="258"/>
      <c r="K134" s="259"/>
      <c r="L134" s="259"/>
      <c r="M134" s="259"/>
      <c r="N134" s="259"/>
      <c r="O134" s="259"/>
      <c r="P134" s="259"/>
      <c r="Q134" s="259"/>
      <c r="R134" s="259"/>
      <c r="S134" s="259"/>
      <c r="T134" s="259"/>
      <c r="U134" s="259"/>
      <c r="V134" s="259"/>
      <c r="W134" s="259"/>
      <c r="X134" s="259"/>
      <c r="Y134" s="259"/>
      <c r="Z134" s="259"/>
      <c r="AA134" s="259"/>
      <c r="AB134" s="259"/>
      <c r="AC134" s="259"/>
      <c r="AD134" s="259"/>
      <c r="AE134" s="259"/>
      <c r="AF134" s="259"/>
      <c r="AG134" s="259"/>
      <c r="AH134" s="259"/>
      <c r="AI134" s="259"/>
      <c r="AJ134" s="259"/>
      <c r="AK134" s="259"/>
      <c r="AL134" s="259"/>
      <c r="AM134" s="259"/>
      <c r="AN134" s="259"/>
      <c r="AO134" s="259"/>
      <c r="AP134" s="259"/>
      <c r="AQ134" s="259"/>
      <c r="AR134" s="259"/>
      <c r="AS134" s="259"/>
      <c r="AT134" s="259"/>
      <c r="AU134" s="259"/>
      <c r="AV134" s="259"/>
      <c r="AW134" s="259"/>
      <c r="AX134" s="259"/>
      <c r="AY134" s="259"/>
      <c r="AZ134" s="259"/>
      <c r="BA134" s="259"/>
      <c r="BB134" s="259"/>
      <c r="BC134" s="259"/>
      <c r="BD134" s="259"/>
      <c r="BE134" s="259"/>
      <c r="BF134" s="259"/>
      <c r="BG134" s="259"/>
    </row>
    <row r="135" spans="1:59" s="2" customFormat="1" x14ac:dyDescent="0.2">
      <c r="A135" s="52"/>
      <c r="B135" s="53"/>
      <c r="C135" s="90" t="s">
        <v>167</v>
      </c>
      <c r="D135" s="66">
        <v>0</v>
      </c>
      <c r="E135" s="66">
        <v>11.4</v>
      </c>
      <c r="F135" s="129">
        <v>11400</v>
      </c>
      <c r="G135" s="231">
        <v>0</v>
      </c>
      <c r="H135" s="237"/>
      <c r="I135" s="258"/>
      <c r="J135" s="258"/>
      <c r="K135" s="259"/>
      <c r="L135" s="259"/>
      <c r="M135" s="259"/>
      <c r="N135" s="259"/>
      <c r="O135" s="259"/>
      <c r="P135" s="259"/>
      <c r="Q135" s="259"/>
      <c r="R135" s="259"/>
      <c r="S135" s="259"/>
      <c r="T135" s="259"/>
      <c r="U135" s="259"/>
      <c r="V135" s="259"/>
      <c r="W135" s="259"/>
      <c r="X135" s="259"/>
      <c r="Y135" s="259"/>
      <c r="Z135" s="259"/>
      <c r="AA135" s="259"/>
      <c r="AB135" s="259"/>
      <c r="AC135" s="259"/>
      <c r="AD135" s="259"/>
      <c r="AE135" s="259"/>
      <c r="AF135" s="259"/>
      <c r="AG135" s="259"/>
      <c r="AH135" s="259"/>
      <c r="AI135" s="259"/>
      <c r="AJ135" s="259"/>
      <c r="AK135" s="259"/>
      <c r="AL135" s="259"/>
      <c r="AM135" s="259"/>
      <c r="AN135" s="259"/>
      <c r="AO135" s="259"/>
      <c r="AP135" s="259"/>
      <c r="AQ135" s="259"/>
      <c r="AR135" s="259"/>
      <c r="AS135" s="259"/>
      <c r="AT135" s="259"/>
      <c r="AU135" s="259"/>
      <c r="AV135" s="259"/>
      <c r="AW135" s="259"/>
      <c r="AX135" s="259"/>
      <c r="AY135" s="259"/>
      <c r="AZ135" s="259"/>
      <c r="BA135" s="259"/>
      <c r="BB135" s="259"/>
      <c r="BC135" s="259"/>
      <c r="BD135" s="259"/>
      <c r="BE135" s="259"/>
      <c r="BF135" s="259"/>
      <c r="BG135" s="259"/>
    </row>
    <row r="136" spans="1:59" s="2" customFormat="1" x14ac:dyDescent="0.2">
      <c r="A136" s="52">
        <v>3314</v>
      </c>
      <c r="B136" s="53">
        <v>5137</v>
      </c>
      <c r="C136" s="90" t="s">
        <v>35</v>
      </c>
      <c r="D136" s="66">
        <v>15</v>
      </c>
      <c r="E136" s="66">
        <v>15</v>
      </c>
      <c r="F136" s="129">
        <v>2468</v>
      </c>
      <c r="G136" s="231">
        <v>15</v>
      </c>
      <c r="H136" s="237"/>
      <c r="I136" s="258"/>
      <c r="J136" s="258"/>
      <c r="K136" s="259"/>
      <c r="L136" s="259"/>
      <c r="M136" s="259"/>
      <c r="N136" s="259"/>
      <c r="O136" s="259"/>
      <c r="P136" s="259"/>
      <c r="Q136" s="259"/>
      <c r="R136" s="259"/>
      <c r="S136" s="259"/>
      <c r="T136" s="259"/>
      <c r="U136" s="259"/>
      <c r="V136" s="259"/>
      <c r="W136" s="259"/>
      <c r="X136" s="259"/>
      <c r="Y136" s="259"/>
      <c r="Z136" s="259"/>
      <c r="AA136" s="259"/>
      <c r="AB136" s="259"/>
      <c r="AC136" s="259"/>
      <c r="AD136" s="259"/>
      <c r="AE136" s="259"/>
      <c r="AF136" s="259"/>
      <c r="AG136" s="259"/>
      <c r="AH136" s="259"/>
      <c r="AI136" s="259"/>
      <c r="AJ136" s="259"/>
      <c r="AK136" s="259"/>
      <c r="AL136" s="259"/>
      <c r="AM136" s="259"/>
      <c r="AN136" s="259"/>
      <c r="AO136" s="259"/>
      <c r="AP136" s="259"/>
      <c r="AQ136" s="259"/>
      <c r="AR136" s="259"/>
      <c r="AS136" s="259"/>
      <c r="AT136" s="259"/>
      <c r="AU136" s="259"/>
      <c r="AV136" s="259"/>
      <c r="AW136" s="259"/>
      <c r="AX136" s="259"/>
      <c r="AY136" s="259"/>
      <c r="AZ136" s="259"/>
      <c r="BA136" s="259"/>
      <c r="BB136" s="259"/>
      <c r="BC136" s="259"/>
      <c r="BD136" s="259"/>
      <c r="BE136" s="259"/>
      <c r="BF136" s="259"/>
      <c r="BG136" s="259"/>
    </row>
    <row r="137" spans="1:59" s="2" customFormat="1" x14ac:dyDescent="0.2">
      <c r="A137" s="47">
        <v>3314</v>
      </c>
      <c r="B137" s="48">
        <v>5139</v>
      </c>
      <c r="C137" s="46" t="s">
        <v>102</v>
      </c>
      <c r="D137" s="66">
        <v>8</v>
      </c>
      <c r="E137" s="66">
        <v>8</v>
      </c>
      <c r="F137" s="129">
        <v>5500</v>
      </c>
      <c r="G137" s="231">
        <v>10</v>
      </c>
      <c r="H137" s="237"/>
      <c r="I137" s="258"/>
      <c r="J137" s="258"/>
      <c r="K137" s="259"/>
      <c r="L137" s="259"/>
      <c r="M137" s="259"/>
      <c r="N137" s="259"/>
      <c r="O137" s="259"/>
      <c r="P137" s="259"/>
      <c r="Q137" s="259"/>
      <c r="R137" s="259"/>
      <c r="S137" s="259"/>
      <c r="T137" s="259"/>
      <c r="U137" s="259"/>
      <c r="V137" s="259"/>
      <c r="W137" s="259"/>
      <c r="X137" s="259"/>
      <c r="Y137" s="259"/>
      <c r="Z137" s="259"/>
      <c r="AA137" s="259"/>
      <c r="AB137" s="259"/>
      <c r="AC137" s="259"/>
      <c r="AD137" s="259"/>
      <c r="AE137" s="259"/>
      <c r="AF137" s="259"/>
      <c r="AG137" s="259"/>
      <c r="AH137" s="259"/>
      <c r="AI137" s="259"/>
      <c r="AJ137" s="259"/>
      <c r="AK137" s="259"/>
      <c r="AL137" s="259"/>
      <c r="AM137" s="259"/>
      <c r="AN137" s="259"/>
      <c r="AO137" s="259"/>
      <c r="AP137" s="259"/>
      <c r="AQ137" s="259"/>
      <c r="AR137" s="259"/>
      <c r="AS137" s="259"/>
      <c r="AT137" s="259"/>
      <c r="AU137" s="259"/>
      <c r="AV137" s="259"/>
      <c r="AW137" s="259"/>
      <c r="AX137" s="259"/>
      <c r="AY137" s="259"/>
      <c r="AZ137" s="259"/>
      <c r="BA137" s="259"/>
      <c r="BB137" s="259"/>
      <c r="BC137" s="259"/>
      <c r="BD137" s="259"/>
      <c r="BE137" s="259"/>
      <c r="BF137" s="259"/>
      <c r="BG137" s="259"/>
    </row>
    <row r="138" spans="1:59" s="2" customFormat="1" x14ac:dyDescent="0.2">
      <c r="A138" s="47">
        <v>3314</v>
      </c>
      <c r="B138" s="48">
        <v>5151</v>
      </c>
      <c r="C138" s="46" t="s">
        <v>10</v>
      </c>
      <c r="D138" s="66">
        <v>18</v>
      </c>
      <c r="E138" s="66">
        <v>18</v>
      </c>
      <c r="F138" s="129">
        <v>18603</v>
      </c>
      <c r="G138" s="231">
        <v>21</v>
      </c>
      <c r="H138" s="237"/>
      <c r="I138" s="258"/>
      <c r="J138" s="258"/>
      <c r="K138" s="259"/>
      <c r="L138" s="259"/>
      <c r="M138" s="259"/>
      <c r="N138" s="259"/>
      <c r="O138" s="259"/>
      <c r="P138" s="259"/>
      <c r="Q138" s="259"/>
      <c r="R138" s="259"/>
      <c r="S138" s="259"/>
      <c r="T138" s="259"/>
      <c r="U138" s="259"/>
      <c r="V138" s="259"/>
      <c r="W138" s="259"/>
      <c r="X138" s="259"/>
      <c r="Y138" s="259"/>
      <c r="Z138" s="259"/>
      <c r="AA138" s="259"/>
      <c r="AB138" s="259"/>
      <c r="AC138" s="259"/>
      <c r="AD138" s="259"/>
      <c r="AE138" s="259"/>
      <c r="AF138" s="259"/>
      <c r="AG138" s="259"/>
      <c r="AH138" s="259"/>
      <c r="AI138" s="259"/>
      <c r="AJ138" s="259"/>
      <c r="AK138" s="259"/>
      <c r="AL138" s="259"/>
      <c r="AM138" s="259"/>
      <c r="AN138" s="259"/>
      <c r="AO138" s="259"/>
      <c r="AP138" s="259"/>
      <c r="AQ138" s="259"/>
      <c r="AR138" s="259"/>
      <c r="AS138" s="259"/>
      <c r="AT138" s="259"/>
      <c r="AU138" s="259"/>
      <c r="AV138" s="259"/>
      <c r="AW138" s="259"/>
      <c r="AX138" s="259"/>
      <c r="AY138" s="259"/>
      <c r="AZ138" s="259"/>
      <c r="BA138" s="259"/>
      <c r="BB138" s="259"/>
      <c r="BC138" s="259"/>
      <c r="BD138" s="259"/>
      <c r="BE138" s="259"/>
      <c r="BF138" s="259"/>
      <c r="BG138" s="259"/>
    </row>
    <row r="139" spans="1:59" s="2" customFormat="1" x14ac:dyDescent="0.2">
      <c r="A139" s="47">
        <v>3314</v>
      </c>
      <c r="B139" s="48">
        <v>5153</v>
      </c>
      <c r="C139" s="46" t="s">
        <v>115</v>
      </c>
      <c r="D139" s="66">
        <v>180</v>
      </c>
      <c r="E139" s="66">
        <v>180</v>
      </c>
      <c r="F139" s="129">
        <v>101600</v>
      </c>
      <c r="G139" s="231">
        <v>130</v>
      </c>
      <c r="H139" s="237"/>
      <c r="I139" s="258"/>
      <c r="J139" s="258"/>
      <c r="K139" s="259"/>
      <c r="L139" s="259"/>
      <c r="M139" s="259"/>
      <c r="N139" s="259"/>
      <c r="O139" s="259"/>
      <c r="P139" s="259"/>
      <c r="Q139" s="259"/>
      <c r="R139" s="259"/>
      <c r="S139" s="259"/>
      <c r="T139" s="259"/>
      <c r="U139" s="259"/>
      <c r="V139" s="259"/>
      <c r="W139" s="259"/>
      <c r="X139" s="259"/>
      <c r="Y139" s="259"/>
      <c r="Z139" s="259"/>
      <c r="AA139" s="259"/>
      <c r="AB139" s="259"/>
      <c r="AC139" s="259"/>
      <c r="AD139" s="259"/>
      <c r="AE139" s="259"/>
      <c r="AF139" s="259"/>
      <c r="AG139" s="259"/>
      <c r="AH139" s="259"/>
      <c r="AI139" s="259"/>
      <c r="AJ139" s="259"/>
      <c r="AK139" s="259"/>
      <c r="AL139" s="259"/>
      <c r="AM139" s="259"/>
      <c r="AN139" s="259"/>
      <c r="AO139" s="259"/>
      <c r="AP139" s="259"/>
      <c r="AQ139" s="259"/>
      <c r="AR139" s="259"/>
      <c r="AS139" s="259"/>
      <c r="AT139" s="259"/>
      <c r="AU139" s="259"/>
      <c r="AV139" s="259"/>
      <c r="AW139" s="259"/>
      <c r="AX139" s="259"/>
      <c r="AY139" s="259"/>
      <c r="AZ139" s="259"/>
      <c r="BA139" s="259"/>
      <c r="BB139" s="259"/>
      <c r="BC139" s="259"/>
      <c r="BD139" s="259"/>
      <c r="BE139" s="259"/>
      <c r="BF139" s="259"/>
      <c r="BG139" s="259"/>
    </row>
    <row r="140" spans="1:59" s="2" customFormat="1" x14ac:dyDescent="0.2">
      <c r="A140" s="47">
        <v>3314</v>
      </c>
      <c r="B140" s="48">
        <v>5154</v>
      </c>
      <c r="C140" s="46" t="s">
        <v>12</v>
      </c>
      <c r="D140" s="66">
        <v>58</v>
      </c>
      <c r="E140" s="66">
        <v>58</v>
      </c>
      <c r="F140" s="129">
        <v>28470</v>
      </c>
      <c r="G140" s="231">
        <v>60</v>
      </c>
      <c r="H140" s="237"/>
      <c r="I140" s="258"/>
      <c r="J140" s="258"/>
      <c r="K140" s="259"/>
      <c r="L140" s="259"/>
      <c r="M140" s="259"/>
      <c r="N140" s="259"/>
      <c r="O140" s="259"/>
      <c r="P140" s="259"/>
      <c r="Q140" s="259"/>
      <c r="R140" s="259"/>
      <c r="S140" s="259"/>
      <c r="T140" s="259"/>
      <c r="U140" s="259"/>
      <c r="V140" s="259"/>
      <c r="W140" s="259"/>
      <c r="X140" s="259"/>
      <c r="Y140" s="259"/>
      <c r="Z140" s="259"/>
      <c r="AA140" s="259"/>
      <c r="AB140" s="259"/>
      <c r="AC140" s="259"/>
      <c r="AD140" s="259"/>
      <c r="AE140" s="259"/>
      <c r="AF140" s="259"/>
      <c r="AG140" s="259"/>
      <c r="AH140" s="259"/>
      <c r="AI140" s="259"/>
      <c r="AJ140" s="259"/>
      <c r="AK140" s="259"/>
      <c r="AL140" s="259"/>
      <c r="AM140" s="259"/>
      <c r="AN140" s="259"/>
      <c r="AO140" s="259"/>
      <c r="AP140" s="259"/>
      <c r="AQ140" s="259"/>
      <c r="AR140" s="259"/>
      <c r="AS140" s="259"/>
      <c r="AT140" s="259"/>
      <c r="AU140" s="259"/>
      <c r="AV140" s="259"/>
      <c r="AW140" s="259"/>
      <c r="AX140" s="259"/>
      <c r="AY140" s="259"/>
      <c r="AZ140" s="259"/>
      <c r="BA140" s="259"/>
      <c r="BB140" s="259"/>
      <c r="BC140" s="259"/>
      <c r="BD140" s="259"/>
      <c r="BE140" s="259"/>
      <c r="BF140" s="259"/>
      <c r="BG140" s="259"/>
    </row>
    <row r="141" spans="1:59" s="2" customFormat="1" x14ac:dyDescent="0.2">
      <c r="A141" s="47">
        <v>3314</v>
      </c>
      <c r="B141" s="48">
        <v>5162</v>
      </c>
      <c r="C141" s="46" t="s">
        <v>96</v>
      </c>
      <c r="D141" s="66">
        <v>12</v>
      </c>
      <c r="E141" s="66">
        <v>12</v>
      </c>
      <c r="F141" s="129">
        <v>8437.17</v>
      </c>
      <c r="G141" s="231">
        <v>12</v>
      </c>
      <c r="H141" s="237"/>
      <c r="I141" s="258"/>
      <c r="J141" s="258"/>
      <c r="K141" s="259"/>
      <c r="L141" s="259"/>
      <c r="M141" s="259"/>
      <c r="N141" s="259"/>
      <c r="O141" s="259"/>
      <c r="P141" s="259"/>
      <c r="Q141" s="259"/>
      <c r="R141" s="259"/>
      <c r="S141" s="259"/>
      <c r="T141" s="259"/>
      <c r="U141" s="259"/>
      <c r="V141" s="259"/>
      <c r="W141" s="259"/>
      <c r="X141" s="259"/>
      <c r="Y141" s="259"/>
      <c r="Z141" s="259"/>
      <c r="AA141" s="259"/>
      <c r="AB141" s="259"/>
      <c r="AC141" s="259"/>
      <c r="AD141" s="259"/>
      <c r="AE141" s="259"/>
      <c r="AF141" s="259"/>
      <c r="AG141" s="259"/>
      <c r="AH141" s="259"/>
      <c r="AI141" s="259"/>
      <c r="AJ141" s="259"/>
      <c r="AK141" s="259"/>
      <c r="AL141" s="259"/>
      <c r="AM141" s="259"/>
      <c r="AN141" s="259"/>
      <c r="AO141" s="259"/>
      <c r="AP141" s="259"/>
      <c r="AQ141" s="259"/>
      <c r="AR141" s="259"/>
      <c r="AS141" s="259"/>
      <c r="AT141" s="259"/>
      <c r="AU141" s="259"/>
      <c r="AV141" s="259"/>
      <c r="AW141" s="259"/>
      <c r="AX141" s="259"/>
      <c r="AY141" s="259"/>
      <c r="AZ141" s="259"/>
      <c r="BA141" s="259"/>
      <c r="BB141" s="259"/>
      <c r="BC141" s="259"/>
      <c r="BD141" s="259"/>
      <c r="BE141" s="259"/>
      <c r="BF141" s="259"/>
      <c r="BG141" s="259"/>
    </row>
    <row r="142" spans="1:59" s="2" customFormat="1" x14ac:dyDescent="0.2">
      <c r="A142" s="47">
        <v>3314</v>
      </c>
      <c r="B142" s="48">
        <v>5168</v>
      </c>
      <c r="C142" s="46" t="s">
        <v>72</v>
      </c>
      <c r="D142" s="66">
        <v>17</v>
      </c>
      <c r="E142" s="66">
        <v>17</v>
      </c>
      <c r="F142" s="129">
        <v>3750</v>
      </c>
      <c r="G142" s="231">
        <v>15</v>
      </c>
      <c r="H142" s="237"/>
      <c r="I142" s="258"/>
      <c r="J142" s="258"/>
      <c r="K142" s="259"/>
      <c r="L142" s="259"/>
      <c r="M142" s="259"/>
      <c r="N142" s="259"/>
      <c r="O142" s="259"/>
      <c r="P142" s="259"/>
      <c r="Q142" s="259"/>
      <c r="R142" s="259"/>
      <c r="S142" s="259"/>
      <c r="T142" s="259"/>
      <c r="U142" s="259"/>
      <c r="V142" s="259"/>
      <c r="W142" s="259"/>
      <c r="X142" s="259"/>
      <c r="Y142" s="259"/>
      <c r="Z142" s="259"/>
      <c r="AA142" s="259"/>
      <c r="AB142" s="259"/>
      <c r="AC142" s="259"/>
      <c r="AD142" s="259"/>
      <c r="AE142" s="259"/>
      <c r="AF142" s="259"/>
      <c r="AG142" s="259"/>
      <c r="AH142" s="259"/>
      <c r="AI142" s="259"/>
      <c r="AJ142" s="259"/>
      <c r="AK142" s="259"/>
      <c r="AL142" s="259"/>
      <c r="AM142" s="259"/>
      <c r="AN142" s="259"/>
      <c r="AO142" s="259"/>
      <c r="AP142" s="259"/>
      <c r="AQ142" s="259"/>
      <c r="AR142" s="259"/>
      <c r="AS142" s="259"/>
      <c r="AT142" s="259"/>
      <c r="AU142" s="259"/>
      <c r="AV142" s="259"/>
      <c r="AW142" s="259"/>
      <c r="AX142" s="259"/>
      <c r="AY142" s="259"/>
      <c r="AZ142" s="259"/>
      <c r="BA142" s="259"/>
      <c r="BB142" s="259"/>
      <c r="BC142" s="259"/>
      <c r="BD142" s="259"/>
      <c r="BE142" s="259"/>
      <c r="BF142" s="259"/>
      <c r="BG142" s="259"/>
    </row>
    <row r="143" spans="1:59" s="2" customFormat="1" ht="30" x14ac:dyDescent="0.2">
      <c r="A143" s="47">
        <v>3314</v>
      </c>
      <c r="B143" s="48">
        <v>5169</v>
      </c>
      <c r="C143" s="46" t="s">
        <v>383</v>
      </c>
      <c r="D143" s="66">
        <v>35</v>
      </c>
      <c r="E143" s="66">
        <v>35</v>
      </c>
      <c r="F143" s="129">
        <v>8136.04</v>
      </c>
      <c r="G143" s="231">
        <v>500</v>
      </c>
      <c r="H143" s="237"/>
      <c r="I143" s="258"/>
      <c r="J143" s="258"/>
      <c r="K143" s="259"/>
      <c r="L143" s="259"/>
      <c r="M143" s="259"/>
      <c r="N143" s="259"/>
      <c r="O143" s="259"/>
      <c r="P143" s="259"/>
      <c r="Q143" s="259"/>
      <c r="R143" s="259"/>
      <c r="S143" s="259"/>
      <c r="T143" s="259"/>
      <c r="U143" s="259"/>
      <c r="V143" s="259"/>
      <c r="W143" s="259"/>
      <c r="X143" s="259"/>
      <c r="Y143" s="259"/>
      <c r="Z143" s="259"/>
      <c r="AA143" s="259"/>
      <c r="AB143" s="259"/>
      <c r="AC143" s="259"/>
      <c r="AD143" s="259"/>
      <c r="AE143" s="259"/>
      <c r="AF143" s="259"/>
      <c r="AG143" s="259"/>
      <c r="AH143" s="259"/>
      <c r="AI143" s="259"/>
      <c r="AJ143" s="259"/>
      <c r="AK143" s="259"/>
      <c r="AL143" s="259"/>
      <c r="AM143" s="259"/>
      <c r="AN143" s="259"/>
      <c r="AO143" s="259"/>
      <c r="AP143" s="259"/>
      <c r="AQ143" s="259"/>
      <c r="AR143" s="259"/>
      <c r="AS143" s="259"/>
      <c r="AT143" s="259"/>
      <c r="AU143" s="259"/>
      <c r="AV143" s="259"/>
      <c r="AW143" s="259"/>
      <c r="AX143" s="259"/>
      <c r="AY143" s="259"/>
      <c r="AZ143" s="259"/>
      <c r="BA143" s="259"/>
      <c r="BB143" s="259"/>
      <c r="BC143" s="259"/>
      <c r="BD143" s="259"/>
      <c r="BE143" s="259"/>
      <c r="BF143" s="259"/>
      <c r="BG143" s="259"/>
    </row>
    <row r="144" spans="1:59" s="2" customFormat="1" x14ac:dyDescent="0.2">
      <c r="A144" s="47">
        <v>3314</v>
      </c>
      <c r="B144" s="48">
        <v>5171</v>
      </c>
      <c r="C144" s="46" t="s">
        <v>6</v>
      </c>
      <c r="D144" s="66">
        <v>55</v>
      </c>
      <c r="E144" s="66">
        <v>55</v>
      </c>
      <c r="F144" s="129">
        <v>3851.43</v>
      </c>
      <c r="G144" s="231">
        <v>100</v>
      </c>
      <c r="H144" s="237"/>
      <c r="I144" s="258"/>
      <c r="J144" s="258"/>
      <c r="K144" s="259"/>
      <c r="L144" s="259"/>
      <c r="M144" s="259"/>
      <c r="N144" s="259"/>
      <c r="O144" s="259"/>
      <c r="P144" s="259"/>
      <c r="Q144" s="259"/>
      <c r="R144" s="259"/>
      <c r="S144" s="259"/>
      <c r="T144" s="259"/>
      <c r="U144" s="259"/>
      <c r="V144" s="259"/>
      <c r="W144" s="259"/>
      <c r="X144" s="259"/>
      <c r="Y144" s="259"/>
      <c r="Z144" s="259"/>
      <c r="AA144" s="259"/>
      <c r="AB144" s="259"/>
      <c r="AC144" s="259"/>
      <c r="AD144" s="259"/>
      <c r="AE144" s="259"/>
      <c r="AF144" s="259"/>
      <c r="AG144" s="259"/>
      <c r="AH144" s="259"/>
      <c r="AI144" s="259"/>
      <c r="AJ144" s="259"/>
      <c r="AK144" s="259"/>
      <c r="AL144" s="259"/>
      <c r="AM144" s="259"/>
      <c r="AN144" s="259"/>
      <c r="AO144" s="259"/>
      <c r="AP144" s="259"/>
      <c r="AQ144" s="259"/>
      <c r="AR144" s="259"/>
      <c r="AS144" s="259"/>
      <c r="AT144" s="259"/>
      <c r="AU144" s="259"/>
      <c r="AV144" s="259"/>
      <c r="AW144" s="259"/>
      <c r="AX144" s="259"/>
      <c r="AY144" s="259"/>
      <c r="AZ144" s="259"/>
      <c r="BA144" s="259"/>
      <c r="BB144" s="259"/>
      <c r="BC144" s="259"/>
      <c r="BD144" s="259"/>
      <c r="BE144" s="259"/>
      <c r="BF144" s="259"/>
      <c r="BG144" s="259"/>
    </row>
    <row r="145" spans="1:59" s="6" customFormat="1" x14ac:dyDescent="0.2">
      <c r="A145" s="47">
        <v>3314</v>
      </c>
      <c r="B145" s="48">
        <v>6121</v>
      </c>
      <c r="C145" s="88" t="s">
        <v>235</v>
      </c>
      <c r="D145" s="103">
        <v>2000</v>
      </c>
      <c r="E145" s="103">
        <v>2000</v>
      </c>
      <c r="F145" s="134">
        <v>32222.3</v>
      </c>
      <c r="G145" s="230">
        <v>2500</v>
      </c>
      <c r="H145" s="237"/>
      <c r="I145" s="251"/>
      <c r="J145" s="251"/>
      <c r="K145" s="264"/>
      <c r="L145" s="264"/>
      <c r="M145" s="264"/>
      <c r="N145" s="264"/>
      <c r="O145" s="264"/>
      <c r="P145" s="264"/>
      <c r="Q145" s="264"/>
      <c r="R145" s="264"/>
      <c r="S145" s="264"/>
      <c r="T145" s="264"/>
      <c r="U145" s="264"/>
      <c r="V145" s="264"/>
      <c r="W145" s="264"/>
      <c r="X145" s="264"/>
      <c r="Y145" s="264"/>
      <c r="Z145" s="264"/>
      <c r="AA145" s="264"/>
      <c r="AB145" s="264"/>
      <c r="AC145" s="264"/>
      <c r="AD145" s="264"/>
      <c r="AE145" s="264"/>
      <c r="AF145" s="264"/>
      <c r="AG145" s="264"/>
      <c r="AH145" s="264"/>
      <c r="AI145" s="264"/>
      <c r="AJ145" s="264"/>
      <c r="AK145" s="264"/>
      <c r="AL145" s="264"/>
      <c r="AM145" s="264"/>
      <c r="AN145" s="264"/>
      <c r="AO145" s="264"/>
      <c r="AP145" s="264"/>
      <c r="AQ145" s="264"/>
      <c r="AR145" s="264"/>
      <c r="AS145" s="264"/>
      <c r="AT145" s="264"/>
      <c r="AU145" s="264"/>
      <c r="AV145" s="264"/>
      <c r="AW145" s="264"/>
      <c r="AX145" s="264"/>
      <c r="AY145" s="264"/>
      <c r="AZ145" s="264"/>
      <c r="BA145" s="264"/>
      <c r="BB145" s="264"/>
      <c r="BC145" s="264"/>
      <c r="BD145" s="264"/>
      <c r="BE145" s="264"/>
      <c r="BF145" s="264"/>
      <c r="BG145" s="264"/>
    </row>
    <row r="146" spans="1:59" s="3" customFormat="1" ht="15.75" x14ac:dyDescent="0.25">
      <c r="A146" s="24">
        <v>3314</v>
      </c>
      <c r="B146" s="25"/>
      <c r="C146" s="57" t="s">
        <v>15</v>
      </c>
      <c r="D146" s="67">
        <f>SUM(D130:D145)</f>
        <v>3254</v>
      </c>
      <c r="E146" s="67">
        <f>SUM(E130:E145)</f>
        <v>3265.4</v>
      </c>
      <c r="F146" s="130">
        <f>SUM(F130:F145)</f>
        <v>912210.43000000017</v>
      </c>
      <c r="G146" s="233">
        <f>SUM(G130:G145)</f>
        <v>4261</v>
      </c>
      <c r="H146" s="239">
        <f>G146</f>
        <v>4261</v>
      </c>
      <c r="I146" s="251"/>
      <c r="J146" s="251"/>
      <c r="K146" s="265"/>
      <c r="L146" s="265"/>
      <c r="M146" s="265"/>
      <c r="N146" s="265"/>
      <c r="O146" s="265"/>
      <c r="P146" s="265"/>
      <c r="Q146" s="265"/>
      <c r="R146" s="265"/>
      <c r="S146" s="265"/>
      <c r="T146" s="265"/>
      <c r="U146" s="265"/>
      <c r="V146" s="265"/>
      <c r="W146" s="265"/>
      <c r="X146" s="265"/>
      <c r="Y146" s="265"/>
      <c r="Z146" s="265"/>
      <c r="AA146" s="265"/>
      <c r="AB146" s="265"/>
      <c r="AC146" s="265"/>
      <c r="AD146" s="265"/>
      <c r="AE146" s="265"/>
      <c r="AF146" s="265"/>
      <c r="AG146" s="265"/>
      <c r="AH146" s="265"/>
      <c r="AI146" s="265"/>
      <c r="AJ146" s="265"/>
      <c r="AK146" s="265"/>
      <c r="AL146" s="265"/>
      <c r="AM146" s="265"/>
      <c r="AN146" s="265"/>
      <c r="AO146" s="265"/>
      <c r="AP146" s="265"/>
      <c r="AQ146" s="265"/>
      <c r="AR146" s="265"/>
      <c r="AS146" s="265"/>
      <c r="AT146" s="265"/>
      <c r="AU146" s="265"/>
      <c r="AV146" s="265"/>
      <c r="AW146" s="265"/>
      <c r="AX146" s="265"/>
      <c r="AY146" s="265"/>
      <c r="AZ146" s="265"/>
      <c r="BA146" s="265"/>
      <c r="BB146" s="265"/>
      <c r="BC146" s="265"/>
      <c r="BD146" s="265"/>
      <c r="BE146" s="265"/>
      <c r="BF146" s="265"/>
      <c r="BG146" s="265"/>
    </row>
    <row r="147" spans="1:59" s="3" customFormat="1" ht="15.75" x14ac:dyDescent="0.25">
      <c r="A147" s="24"/>
      <c r="B147" s="25"/>
      <c r="C147" s="58"/>
      <c r="D147" s="66"/>
      <c r="E147" s="66"/>
      <c r="F147" s="130"/>
      <c r="G147" s="231"/>
      <c r="H147" s="237"/>
      <c r="I147" s="251"/>
      <c r="J147" s="251"/>
      <c r="K147" s="265"/>
      <c r="L147" s="265"/>
      <c r="M147" s="265"/>
      <c r="N147" s="265"/>
      <c r="O147" s="265"/>
      <c r="P147" s="265"/>
      <c r="Q147" s="265"/>
      <c r="R147" s="265"/>
      <c r="S147" s="265"/>
      <c r="T147" s="265"/>
      <c r="U147" s="265"/>
      <c r="V147" s="265"/>
      <c r="W147" s="265"/>
      <c r="X147" s="265"/>
      <c r="Y147" s="265"/>
      <c r="Z147" s="265"/>
      <c r="AA147" s="265"/>
      <c r="AB147" s="265"/>
      <c r="AC147" s="265"/>
      <c r="AD147" s="265"/>
      <c r="AE147" s="265"/>
      <c r="AF147" s="265"/>
      <c r="AG147" s="265"/>
      <c r="AH147" s="265"/>
      <c r="AI147" s="265"/>
      <c r="AJ147" s="265"/>
      <c r="AK147" s="265"/>
      <c r="AL147" s="265"/>
      <c r="AM147" s="265"/>
      <c r="AN147" s="265"/>
      <c r="AO147" s="265"/>
      <c r="AP147" s="265"/>
      <c r="AQ147" s="265"/>
      <c r="AR147" s="265"/>
      <c r="AS147" s="265"/>
      <c r="AT147" s="265"/>
      <c r="AU147" s="265"/>
      <c r="AV147" s="265"/>
      <c r="AW147" s="265"/>
      <c r="AX147" s="265"/>
      <c r="AY147" s="265"/>
      <c r="AZ147" s="265"/>
      <c r="BA147" s="265"/>
      <c r="BB147" s="265"/>
      <c r="BC147" s="265"/>
      <c r="BD147" s="265"/>
      <c r="BE147" s="265"/>
      <c r="BF147" s="265"/>
      <c r="BG147" s="265"/>
    </row>
    <row r="148" spans="1:59" s="2" customFormat="1" x14ac:dyDescent="0.2">
      <c r="A148" s="8">
        <v>3319</v>
      </c>
      <c r="B148" s="45">
        <v>5021</v>
      </c>
      <c r="C148" s="62" t="s">
        <v>17</v>
      </c>
      <c r="D148" s="66">
        <v>80</v>
      </c>
      <c r="E148" s="66">
        <v>80</v>
      </c>
      <c r="F148" s="129">
        <v>30500</v>
      </c>
      <c r="G148" s="231">
        <f>80*1.05</f>
        <v>84</v>
      </c>
      <c r="H148" s="237"/>
      <c r="I148" s="258"/>
      <c r="J148" s="258"/>
      <c r="K148" s="259"/>
      <c r="L148" s="259"/>
      <c r="M148" s="259"/>
      <c r="N148" s="259"/>
      <c r="O148" s="259"/>
      <c r="P148" s="259"/>
      <c r="Q148" s="259"/>
      <c r="R148" s="259"/>
      <c r="S148" s="259"/>
      <c r="T148" s="259"/>
      <c r="U148" s="259"/>
      <c r="V148" s="259"/>
      <c r="W148" s="259"/>
      <c r="X148" s="259"/>
      <c r="Y148" s="259"/>
      <c r="Z148" s="259"/>
      <c r="AA148" s="259"/>
      <c r="AB148" s="259"/>
      <c r="AC148" s="259"/>
      <c r="AD148" s="259"/>
      <c r="AE148" s="259"/>
      <c r="AF148" s="259"/>
      <c r="AG148" s="259"/>
      <c r="AH148" s="259"/>
      <c r="AI148" s="259"/>
      <c r="AJ148" s="259"/>
      <c r="AK148" s="259"/>
      <c r="AL148" s="259"/>
      <c r="AM148" s="259"/>
      <c r="AN148" s="259"/>
      <c r="AO148" s="259"/>
      <c r="AP148" s="259"/>
      <c r="AQ148" s="259"/>
      <c r="AR148" s="259"/>
      <c r="AS148" s="259"/>
      <c r="AT148" s="259"/>
      <c r="AU148" s="259"/>
      <c r="AV148" s="259"/>
      <c r="AW148" s="259"/>
      <c r="AX148" s="259"/>
      <c r="AY148" s="259"/>
      <c r="AZ148" s="259"/>
      <c r="BA148" s="259"/>
      <c r="BB148" s="259"/>
      <c r="BC148" s="259"/>
      <c r="BD148" s="259"/>
      <c r="BE148" s="259"/>
      <c r="BF148" s="259"/>
      <c r="BG148" s="259"/>
    </row>
    <row r="149" spans="1:59" s="2" customFormat="1" x14ac:dyDescent="0.2">
      <c r="A149" s="47">
        <v>3319</v>
      </c>
      <c r="B149" s="48">
        <v>5041</v>
      </c>
      <c r="C149" s="46" t="s">
        <v>86</v>
      </c>
      <c r="D149" s="66">
        <v>6</v>
      </c>
      <c r="E149" s="66">
        <v>6</v>
      </c>
      <c r="F149" s="129">
        <v>4049.51</v>
      </c>
      <c r="G149" s="231">
        <v>6</v>
      </c>
      <c r="H149" s="237"/>
      <c r="I149" s="258"/>
      <c r="J149" s="258"/>
      <c r="K149" s="259"/>
      <c r="L149" s="259"/>
      <c r="M149" s="259"/>
      <c r="N149" s="259"/>
      <c r="O149" s="259"/>
      <c r="P149" s="259"/>
      <c r="Q149" s="259"/>
      <c r="R149" s="259"/>
      <c r="S149" s="259"/>
      <c r="T149" s="259"/>
      <c r="U149" s="259"/>
      <c r="V149" s="259"/>
      <c r="W149" s="259"/>
      <c r="X149" s="259"/>
      <c r="Y149" s="259"/>
      <c r="Z149" s="259"/>
      <c r="AA149" s="259"/>
      <c r="AB149" s="259"/>
      <c r="AC149" s="259"/>
      <c r="AD149" s="259"/>
      <c r="AE149" s="259"/>
      <c r="AF149" s="259"/>
      <c r="AG149" s="259"/>
      <c r="AH149" s="259"/>
      <c r="AI149" s="259"/>
      <c r="AJ149" s="259"/>
      <c r="AK149" s="259"/>
      <c r="AL149" s="259"/>
      <c r="AM149" s="259"/>
      <c r="AN149" s="259"/>
      <c r="AO149" s="259"/>
      <c r="AP149" s="259"/>
      <c r="AQ149" s="259"/>
      <c r="AR149" s="259"/>
      <c r="AS149" s="259"/>
      <c r="AT149" s="259"/>
      <c r="AU149" s="259"/>
      <c r="AV149" s="259"/>
      <c r="AW149" s="259"/>
      <c r="AX149" s="259"/>
      <c r="AY149" s="259"/>
      <c r="AZ149" s="259"/>
      <c r="BA149" s="259"/>
      <c r="BB149" s="259"/>
      <c r="BC149" s="259"/>
      <c r="BD149" s="259"/>
      <c r="BE149" s="259"/>
      <c r="BF149" s="259"/>
      <c r="BG149" s="259"/>
    </row>
    <row r="150" spans="1:59" s="2" customFormat="1" x14ac:dyDescent="0.2">
      <c r="A150" s="47">
        <v>3319</v>
      </c>
      <c r="B150" s="48">
        <v>5136</v>
      </c>
      <c r="C150" s="46" t="s">
        <v>268</v>
      </c>
      <c r="D150" s="66">
        <v>40</v>
      </c>
      <c r="E150" s="66">
        <v>40</v>
      </c>
      <c r="F150" s="129">
        <v>40000</v>
      </c>
      <c r="G150" s="231">
        <v>0</v>
      </c>
      <c r="H150" s="237"/>
      <c r="I150" s="258"/>
      <c r="J150" s="258"/>
      <c r="K150" s="259"/>
      <c r="L150" s="259"/>
      <c r="M150" s="259"/>
      <c r="N150" s="259"/>
      <c r="O150" s="259"/>
      <c r="P150" s="259"/>
      <c r="Q150" s="259"/>
      <c r="R150" s="259"/>
      <c r="S150" s="259"/>
      <c r="T150" s="259"/>
      <c r="U150" s="259"/>
      <c r="V150" s="259"/>
      <c r="W150" s="259"/>
      <c r="X150" s="259"/>
      <c r="Y150" s="259"/>
      <c r="Z150" s="259"/>
      <c r="AA150" s="259"/>
      <c r="AB150" s="259"/>
      <c r="AC150" s="259"/>
      <c r="AD150" s="259"/>
      <c r="AE150" s="259"/>
      <c r="AF150" s="259"/>
      <c r="AG150" s="259"/>
      <c r="AH150" s="259"/>
      <c r="AI150" s="259"/>
      <c r="AJ150" s="259"/>
      <c r="AK150" s="259"/>
      <c r="AL150" s="259"/>
      <c r="AM150" s="259"/>
      <c r="AN150" s="259"/>
      <c r="AO150" s="259"/>
      <c r="AP150" s="259"/>
      <c r="AQ150" s="259"/>
      <c r="AR150" s="259"/>
      <c r="AS150" s="259"/>
      <c r="AT150" s="259"/>
      <c r="AU150" s="259"/>
      <c r="AV150" s="259"/>
      <c r="AW150" s="259"/>
      <c r="AX150" s="259"/>
      <c r="AY150" s="259"/>
      <c r="AZ150" s="259"/>
      <c r="BA150" s="259"/>
      <c r="BB150" s="259"/>
      <c r="BC150" s="259"/>
      <c r="BD150" s="259"/>
      <c r="BE150" s="259"/>
      <c r="BF150" s="259"/>
      <c r="BG150" s="259"/>
    </row>
    <row r="151" spans="1:59" s="2" customFormat="1" x14ac:dyDescent="0.2">
      <c r="A151" s="47">
        <v>3319</v>
      </c>
      <c r="B151" s="48">
        <v>5137</v>
      </c>
      <c r="C151" s="46" t="s">
        <v>36</v>
      </c>
      <c r="D151" s="66">
        <v>55</v>
      </c>
      <c r="E151" s="66">
        <f>55+25</f>
        <v>80</v>
      </c>
      <c r="F151" s="129">
        <v>27725</v>
      </c>
      <c r="G151" s="231">
        <v>70</v>
      </c>
      <c r="H151" s="237"/>
      <c r="I151" s="258"/>
      <c r="J151" s="258"/>
      <c r="K151" s="259"/>
      <c r="L151" s="259"/>
      <c r="M151" s="259"/>
      <c r="N151" s="259"/>
      <c r="O151" s="259"/>
      <c r="P151" s="259"/>
      <c r="Q151" s="259"/>
      <c r="R151" s="259"/>
      <c r="S151" s="259"/>
      <c r="T151" s="259"/>
      <c r="U151" s="259"/>
      <c r="V151" s="259"/>
      <c r="W151" s="259"/>
      <c r="X151" s="259"/>
      <c r="Y151" s="259"/>
      <c r="Z151" s="259"/>
      <c r="AA151" s="259"/>
      <c r="AB151" s="259"/>
      <c r="AC151" s="259"/>
      <c r="AD151" s="259"/>
      <c r="AE151" s="259"/>
      <c r="AF151" s="259"/>
      <c r="AG151" s="259"/>
      <c r="AH151" s="259"/>
      <c r="AI151" s="259"/>
      <c r="AJ151" s="259"/>
      <c r="AK151" s="259"/>
      <c r="AL151" s="259"/>
      <c r="AM151" s="259"/>
      <c r="AN151" s="259"/>
      <c r="AO151" s="259"/>
      <c r="AP151" s="259"/>
      <c r="AQ151" s="259"/>
      <c r="AR151" s="259"/>
      <c r="AS151" s="259"/>
      <c r="AT151" s="259"/>
      <c r="AU151" s="259"/>
      <c r="AV151" s="259"/>
      <c r="AW151" s="259"/>
      <c r="AX151" s="259"/>
      <c r="AY151" s="259"/>
      <c r="AZ151" s="259"/>
      <c r="BA151" s="259"/>
      <c r="BB151" s="259"/>
      <c r="BC151" s="259"/>
      <c r="BD151" s="259"/>
      <c r="BE151" s="259"/>
      <c r="BF151" s="259"/>
      <c r="BG151" s="259"/>
    </row>
    <row r="152" spans="1:59" s="2" customFormat="1" x14ac:dyDescent="0.2">
      <c r="A152" s="47">
        <v>3319</v>
      </c>
      <c r="B152" s="48">
        <v>5139</v>
      </c>
      <c r="C152" s="46" t="s">
        <v>113</v>
      </c>
      <c r="D152" s="66">
        <f t="shared" ref="D152" si="2">25+5</f>
        <v>30</v>
      </c>
      <c r="E152" s="66">
        <f>25+5+5</f>
        <v>35</v>
      </c>
      <c r="F152" s="129">
        <v>19153</v>
      </c>
      <c r="G152" s="231">
        <v>25</v>
      </c>
      <c r="H152" s="237"/>
      <c r="I152" s="258"/>
      <c r="J152" s="258"/>
      <c r="K152" s="259"/>
      <c r="L152" s="259"/>
      <c r="M152" s="259"/>
      <c r="N152" s="259"/>
      <c r="O152" s="259"/>
      <c r="P152" s="259"/>
      <c r="Q152" s="259"/>
      <c r="R152" s="259"/>
      <c r="S152" s="259"/>
      <c r="T152" s="259"/>
      <c r="U152" s="259"/>
      <c r="V152" s="259"/>
      <c r="W152" s="259"/>
      <c r="X152" s="259"/>
      <c r="Y152" s="259"/>
      <c r="Z152" s="259"/>
      <c r="AA152" s="259"/>
      <c r="AB152" s="259"/>
      <c r="AC152" s="259"/>
      <c r="AD152" s="259"/>
      <c r="AE152" s="259"/>
      <c r="AF152" s="259"/>
      <c r="AG152" s="259"/>
      <c r="AH152" s="259"/>
      <c r="AI152" s="259"/>
      <c r="AJ152" s="259"/>
      <c r="AK152" s="259"/>
      <c r="AL152" s="259"/>
      <c r="AM152" s="259"/>
      <c r="AN152" s="259"/>
      <c r="AO152" s="259"/>
      <c r="AP152" s="259"/>
      <c r="AQ152" s="259"/>
      <c r="AR152" s="259"/>
      <c r="AS152" s="259"/>
      <c r="AT152" s="259"/>
      <c r="AU152" s="259"/>
      <c r="AV152" s="259"/>
      <c r="AW152" s="259"/>
      <c r="AX152" s="259"/>
      <c r="AY152" s="259"/>
      <c r="AZ152" s="259"/>
      <c r="BA152" s="259"/>
      <c r="BB152" s="259"/>
      <c r="BC152" s="259"/>
      <c r="BD152" s="259"/>
      <c r="BE152" s="259"/>
      <c r="BF152" s="259"/>
      <c r="BG152" s="259"/>
    </row>
    <row r="153" spans="1:59" s="2" customFormat="1" x14ac:dyDescent="0.2">
      <c r="A153" s="47">
        <v>3319</v>
      </c>
      <c r="B153" s="48">
        <v>5164</v>
      </c>
      <c r="C153" s="46" t="s">
        <v>300</v>
      </c>
      <c r="D153" s="66">
        <v>0</v>
      </c>
      <c r="E153" s="66">
        <v>0</v>
      </c>
      <c r="F153" s="129">
        <v>24200</v>
      </c>
      <c r="G153" s="231">
        <v>0</v>
      </c>
      <c r="H153" s="237"/>
      <c r="I153" s="258"/>
      <c r="J153" s="258"/>
      <c r="K153" s="259"/>
      <c r="L153" s="259"/>
      <c r="M153" s="259"/>
      <c r="N153" s="259"/>
      <c r="O153" s="259"/>
      <c r="P153" s="259"/>
      <c r="Q153" s="259"/>
      <c r="R153" s="259"/>
      <c r="S153" s="259"/>
      <c r="T153" s="259"/>
      <c r="U153" s="259"/>
      <c r="V153" s="259"/>
      <c r="W153" s="259"/>
      <c r="X153" s="259"/>
      <c r="Y153" s="259"/>
      <c r="Z153" s="259"/>
      <c r="AA153" s="259"/>
      <c r="AB153" s="259"/>
      <c r="AC153" s="259"/>
      <c r="AD153" s="259"/>
      <c r="AE153" s="259"/>
      <c r="AF153" s="259"/>
      <c r="AG153" s="259"/>
      <c r="AH153" s="259"/>
      <c r="AI153" s="259"/>
      <c r="AJ153" s="259"/>
      <c r="AK153" s="259"/>
      <c r="AL153" s="259"/>
      <c r="AM153" s="259"/>
      <c r="AN153" s="259"/>
      <c r="AO153" s="259"/>
      <c r="AP153" s="259"/>
      <c r="AQ153" s="259"/>
      <c r="AR153" s="259"/>
      <c r="AS153" s="259"/>
      <c r="AT153" s="259"/>
      <c r="AU153" s="259"/>
      <c r="AV153" s="259"/>
      <c r="AW153" s="259"/>
      <c r="AX153" s="259"/>
      <c r="AY153" s="259"/>
      <c r="AZ153" s="259"/>
      <c r="BA153" s="259"/>
      <c r="BB153" s="259"/>
      <c r="BC153" s="259"/>
      <c r="BD153" s="259"/>
      <c r="BE153" s="259"/>
      <c r="BF153" s="259"/>
      <c r="BG153" s="259"/>
    </row>
    <row r="154" spans="1:59" s="2" customFormat="1" x14ac:dyDescent="0.2">
      <c r="A154" s="47">
        <v>3319</v>
      </c>
      <c r="B154" s="48">
        <v>5169</v>
      </c>
      <c r="C154" s="46" t="s">
        <v>175</v>
      </c>
      <c r="D154" s="66">
        <v>1110</v>
      </c>
      <c r="E154" s="66">
        <f>1110+100-15</f>
        <v>1195</v>
      </c>
      <c r="F154" s="129">
        <f>989049-130000-26620</f>
        <v>832429</v>
      </c>
      <c r="G154" s="231">
        <v>1150</v>
      </c>
      <c r="H154" s="237"/>
      <c r="I154" s="258"/>
      <c r="J154" s="258"/>
      <c r="K154" s="259"/>
      <c r="L154" s="259"/>
      <c r="M154" s="259"/>
      <c r="N154" s="259"/>
      <c r="O154" s="259"/>
      <c r="P154" s="259"/>
      <c r="Q154" s="259"/>
      <c r="R154" s="259"/>
      <c r="S154" s="259"/>
      <c r="T154" s="259"/>
      <c r="U154" s="259"/>
      <c r="V154" s="259"/>
      <c r="W154" s="259"/>
      <c r="X154" s="259"/>
      <c r="Y154" s="259"/>
      <c r="Z154" s="259"/>
      <c r="AA154" s="259"/>
      <c r="AB154" s="259"/>
      <c r="AC154" s="259"/>
      <c r="AD154" s="259"/>
      <c r="AE154" s="259"/>
      <c r="AF154" s="259"/>
      <c r="AG154" s="259"/>
      <c r="AH154" s="259"/>
      <c r="AI154" s="259"/>
      <c r="AJ154" s="259"/>
      <c r="AK154" s="259"/>
      <c r="AL154" s="259"/>
      <c r="AM154" s="259"/>
      <c r="AN154" s="259"/>
      <c r="AO154" s="259"/>
      <c r="AP154" s="259"/>
      <c r="AQ154" s="259"/>
      <c r="AR154" s="259"/>
      <c r="AS154" s="259"/>
      <c r="AT154" s="259"/>
      <c r="AU154" s="259"/>
      <c r="AV154" s="259"/>
      <c r="AW154" s="259"/>
      <c r="AX154" s="259"/>
      <c r="AY154" s="259"/>
      <c r="AZ154" s="259"/>
      <c r="BA154" s="259"/>
      <c r="BB154" s="259"/>
      <c r="BC154" s="259"/>
      <c r="BD154" s="259"/>
      <c r="BE154" s="259"/>
      <c r="BF154" s="259"/>
      <c r="BG154" s="259"/>
    </row>
    <row r="155" spans="1:59" s="2" customFormat="1" x14ac:dyDescent="0.2">
      <c r="A155" s="47">
        <v>3319</v>
      </c>
      <c r="B155" s="48">
        <v>5169</v>
      </c>
      <c r="C155" s="46" t="s">
        <v>157</v>
      </c>
      <c r="D155" s="66">
        <v>130</v>
      </c>
      <c r="E155" s="66">
        <f>130+130-130</f>
        <v>130</v>
      </c>
      <c r="F155" s="129">
        <v>130000</v>
      </c>
      <c r="G155" s="231">
        <v>130</v>
      </c>
      <c r="H155" s="237"/>
      <c r="I155" s="258"/>
      <c r="J155" s="258"/>
      <c r="K155" s="259"/>
      <c r="L155" s="259"/>
      <c r="M155" s="259"/>
      <c r="N155" s="259"/>
      <c r="O155" s="259"/>
      <c r="P155" s="259"/>
      <c r="Q155" s="259"/>
      <c r="R155" s="259"/>
      <c r="S155" s="259"/>
      <c r="T155" s="259"/>
      <c r="U155" s="259"/>
      <c r="V155" s="259"/>
      <c r="W155" s="259"/>
      <c r="X155" s="259"/>
      <c r="Y155" s="259"/>
      <c r="Z155" s="259"/>
      <c r="AA155" s="259"/>
      <c r="AB155" s="259"/>
      <c r="AC155" s="259"/>
      <c r="AD155" s="259"/>
      <c r="AE155" s="259"/>
      <c r="AF155" s="259"/>
      <c r="AG155" s="259"/>
      <c r="AH155" s="259"/>
      <c r="AI155" s="259"/>
      <c r="AJ155" s="259"/>
      <c r="AK155" s="259"/>
      <c r="AL155" s="259"/>
      <c r="AM155" s="259"/>
      <c r="AN155" s="259"/>
      <c r="AO155" s="259"/>
      <c r="AP155" s="259"/>
      <c r="AQ155" s="259"/>
      <c r="AR155" s="259"/>
      <c r="AS155" s="259"/>
      <c r="AT155" s="259"/>
      <c r="AU155" s="259"/>
      <c r="AV155" s="259"/>
      <c r="AW155" s="259"/>
      <c r="AX155" s="259"/>
      <c r="AY155" s="259"/>
      <c r="AZ155" s="259"/>
      <c r="BA155" s="259"/>
      <c r="BB155" s="259"/>
      <c r="BC155" s="259"/>
      <c r="BD155" s="259"/>
      <c r="BE155" s="259"/>
      <c r="BF155" s="259"/>
      <c r="BG155" s="259"/>
    </row>
    <row r="156" spans="1:59" s="2" customFormat="1" x14ac:dyDescent="0.2">
      <c r="A156" s="47">
        <v>3319</v>
      </c>
      <c r="B156" s="48">
        <v>5169</v>
      </c>
      <c r="C156" s="46" t="s">
        <v>114</v>
      </c>
      <c r="D156" s="66">
        <v>60</v>
      </c>
      <c r="E156" s="66">
        <v>60</v>
      </c>
      <c r="F156" s="129">
        <v>26620</v>
      </c>
      <c r="G156" s="231">
        <v>35</v>
      </c>
      <c r="H156" s="237"/>
      <c r="I156" s="258"/>
      <c r="J156" s="258"/>
      <c r="K156" s="259"/>
      <c r="L156" s="259"/>
      <c r="M156" s="259"/>
      <c r="N156" s="259"/>
      <c r="O156" s="259"/>
      <c r="P156" s="259"/>
      <c r="Q156" s="259"/>
      <c r="R156" s="259"/>
      <c r="S156" s="259"/>
      <c r="T156" s="259"/>
      <c r="U156" s="259"/>
      <c r="V156" s="259"/>
      <c r="W156" s="259"/>
      <c r="X156" s="259"/>
      <c r="Y156" s="259"/>
      <c r="Z156" s="259"/>
      <c r="AA156" s="259"/>
      <c r="AB156" s="259"/>
      <c r="AC156" s="259"/>
      <c r="AD156" s="259"/>
      <c r="AE156" s="259"/>
      <c r="AF156" s="259"/>
      <c r="AG156" s="259"/>
      <c r="AH156" s="259"/>
      <c r="AI156" s="259"/>
      <c r="AJ156" s="259"/>
      <c r="AK156" s="259"/>
      <c r="AL156" s="259"/>
      <c r="AM156" s="259"/>
      <c r="AN156" s="259"/>
      <c r="AO156" s="259"/>
      <c r="AP156" s="259"/>
      <c r="AQ156" s="259"/>
      <c r="AR156" s="259"/>
      <c r="AS156" s="259"/>
      <c r="AT156" s="259"/>
      <c r="AU156" s="259"/>
      <c r="AV156" s="259"/>
      <c r="AW156" s="259"/>
      <c r="AX156" s="259"/>
      <c r="AY156" s="259"/>
      <c r="AZ156" s="259"/>
      <c r="BA156" s="259"/>
      <c r="BB156" s="259"/>
      <c r="BC156" s="259"/>
      <c r="BD156" s="259"/>
      <c r="BE156" s="259"/>
      <c r="BF156" s="259"/>
      <c r="BG156" s="259"/>
    </row>
    <row r="157" spans="1:59" s="2" customFormat="1" x14ac:dyDescent="0.2">
      <c r="A157" s="47">
        <v>3319</v>
      </c>
      <c r="B157" s="48">
        <v>5169</v>
      </c>
      <c r="C157" s="46" t="s">
        <v>203</v>
      </c>
      <c r="D157" s="66">
        <v>200</v>
      </c>
      <c r="E157" s="66">
        <v>200</v>
      </c>
      <c r="F157" s="129">
        <v>0</v>
      </c>
      <c r="G157" s="231">
        <v>250</v>
      </c>
      <c r="H157" s="237"/>
      <c r="I157" s="258"/>
      <c r="J157" s="258"/>
      <c r="K157" s="259"/>
      <c r="L157" s="259"/>
      <c r="M157" s="259"/>
      <c r="N157" s="259"/>
      <c r="O157" s="259"/>
      <c r="P157" s="259"/>
      <c r="Q157" s="259"/>
      <c r="R157" s="259"/>
      <c r="S157" s="259"/>
      <c r="T157" s="259"/>
      <c r="U157" s="259"/>
      <c r="V157" s="259"/>
      <c r="W157" s="259"/>
      <c r="X157" s="259"/>
      <c r="Y157" s="259"/>
      <c r="Z157" s="259"/>
      <c r="AA157" s="259"/>
      <c r="AB157" s="259"/>
      <c r="AC157" s="259"/>
      <c r="AD157" s="259"/>
      <c r="AE157" s="259"/>
      <c r="AF157" s="259"/>
      <c r="AG157" s="259"/>
      <c r="AH157" s="259"/>
      <c r="AI157" s="259"/>
      <c r="AJ157" s="259"/>
      <c r="AK157" s="259"/>
      <c r="AL157" s="259"/>
      <c r="AM157" s="259"/>
      <c r="AN157" s="259"/>
      <c r="AO157" s="259"/>
      <c r="AP157" s="259"/>
      <c r="AQ157" s="259"/>
      <c r="AR157" s="259"/>
      <c r="AS157" s="259"/>
      <c r="AT157" s="259"/>
      <c r="AU157" s="259"/>
      <c r="AV157" s="259"/>
      <c r="AW157" s="259"/>
      <c r="AX157" s="259"/>
      <c r="AY157" s="259"/>
      <c r="AZ157" s="259"/>
      <c r="BA157" s="259"/>
      <c r="BB157" s="259"/>
      <c r="BC157" s="259"/>
      <c r="BD157" s="259"/>
      <c r="BE157" s="259"/>
      <c r="BF157" s="259"/>
      <c r="BG157" s="259"/>
    </row>
    <row r="158" spans="1:59" s="2" customFormat="1" x14ac:dyDescent="0.2">
      <c r="A158" s="47">
        <v>3319</v>
      </c>
      <c r="B158" s="48">
        <v>5175</v>
      </c>
      <c r="C158" s="46" t="s">
        <v>13</v>
      </c>
      <c r="D158" s="66">
        <f t="shared" ref="D158:E158" si="3">10+5</f>
        <v>15</v>
      </c>
      <c r="E158" s="66">
        <f t="shared" si="3"/>
        <v>15</v>
      </c>
      <c r="F158" s="129">
        <v>16610</v>
      </c>
      <c r="G158" s="231">
        <v>17</v>
      </c>
      <c r="H158" s="237"/>
      <c r="I158" s="258"/>
      <c r="J158" s="258"/>
      <c r="K158" s="259"/>
      <c r="L158" s="259"/>
      <c r="M158" s="259"/>
      <c r="N158" s="259"/>
      <c r="O158" s="259"/>
      <c r="P158" s="259"/>
      <c r="Q158" s="259"/>
      <c r="R158" s="259"/>
      <c r="S158" s="259"/>
      <c r="T158" s="259"/>
      <c r="U158" s="259"/>
      <c r="V158" s="259"/>
      <c r="W158" s="259"/>
      <c r="X158" s="259"/>
      <c r="Y158" s="259"/>
      <c r="Z158" s="259"/>
      <c r="AA158" s="259"/>
      <c r="AB158" s="259"/>
      <c r="AC158" s="259"/>
      <c r="AD158" s="259"/>
      <c r="AE158" s="259"/>
      <c r="AF158" s="259"/>
      <c r="AG158" s="259"/>
      <c r="AH158" s="259"/>
      <c r="AI158" s="259"/>
      <c r="AJ158" s="259"/>
      <c r="AK158" s="259"/>
      <c r="AL158" s="259"/>
      <c r="AM158" s="259"/>
      <c r="AN158" s="259"/>
      <c r="AO158" s="259"/>
      <c r="AP158" s="259"/>
      <c r="AQ158" s="259"/>
      <c r="AR158" s="259"/>
      <c r="AS158" s="259"/>
      <c r="AT158" s="259"/>
      <c r="AU158" s="259"/>
      <c r="AV158" s="259"/>
      <c r="AW158" s="259"/>
      <c r="AX158" s="259"/>
      <c r="AY158" s="259"/>
      <c r="AZ158" s="259"/>
      <c r="BA158" s="259"/>
      <c r="BB158" s="259"/>
      <c r="BC158" s="259"/>
      <c r="BD158" s="259"/>
      <c r="BE158" s="259"/>
      <c r="BF158" s="259"/>
      <c r="BG158" s="259"/>
    </row>
    <row r="159" spans="1:59" s="2" customFormat="1" x14ac:dyDescent="0.2">
      <c r="A159" s="47">
        <v>3319</v>
      </c>
      <c r="B159" s="48">
        <v>5179</v>
      </c>
      <c r="C159" s="46" t="s">
        <v>302</v>
      </c>
      <c r="D159" s="66">
        <v>0</v>
      </c>
      <c r="E159" s="66">
        <v>0</v>
      </c>
      <c r="F159" s="129">
        <v>38720</v>
      </c>
      <c r="G159" s="231">
        <v>0</v>
      </c>
      <c r="H159" s="237"/>
      <c r="I159" s="258"/>
      <c r="J159" s="258"/>
      <c r="K159" s="259"/>
      <c r="L159" s="259"/>
      <c r="M159" s="259"/>
      <c r="N159" s="259"/>
      <c r="O159" s="259"/>
      <c r="P159" s="259"/>
      <c r="Q159" s="259"/>
      <c r="R159" s="259"/>
      <c r="S159" s="259"/>
      <c r="T159" s="259"/>
      <c r="U159" s="259"/>
      <c r="V159" s="259"/>
      <c r="W159" s="259"/>
      <c r="X159" s="259"/>
      <c r="Y159" s="259"/>
      <c r="Z159" s="259"/>
      <c r="AA159" s="259"/>
      <c r="AB159" s="259"/>
      <c r="AC159" s="259"/>
      <c r="AD159" s="259"/>
      <c r="AE159" s="259"/>
      <c r="AF159" s="259"/>
      <c r="AG159" s="259"/>
      <c r="AH159" s="259"/>
      <c r="AI159" s="259"/>
      <c r="AJ159" s="259"/>
      <c r="AK159" s="259"/>
      <c r="AL159" s="259"/>
      <c r="AM159" s="259"/>
      <c r="AN159" s="259"/>
      <c r="AO159" s="259"/>
      <c r="AP159" s="259"/>
      <c r="AQ159" s="259"/>
      <c r="AR159" s="259"/>
      <c r="AS159" s="259"/>
      <c r="AT159" s="259"/>
      <c r="AU159" s="259"/>
      <c r="AV159" s="259"/>
      <c r="AW159" s="259"/>
      <c r="AX159" s="259"/>
      <c r="AY159" s="259"/>
      <c r="AZ159" s="259"/>
      <c r="BA159" s="259"/>
      <c r="BB159" s="259"/>
      <c r="BC159" s="259"/>
      <c r="BD159" s="259"/>
      <c r="BE159" s="259"/>
      <c r="BF159" s="259"/>
      <c r="BG159" s="259"/>
    </row>
    <row r="160" spans="1:59" s="2" customFormat="1" ht="30.75" customHeight="1" x14ac:dyDescent="0.2">
      <c r="A160" s="47">
        <v>3319</v>
      </c>
      <c r="B160" s="48">
        <v>5194</v>
      </c>
      <c r="C160" s="46" t="s">
        <v>186</v>
      </c>
      <c r="D160" s="66">
        <v>50</v>
      </c>
      <c r="E160" s="66">
        <f>50+5</f>
        <v>55</v>
      </c>
      <c r="F160" s="129">
        <v>21445</v>
      </c>
      <c r="G160" s="231">
        <v>55</v>
      </c>
      <c r="H160" s="237"/>
      <c r="I160" s="258"/>
      <c r="J160" s="258"/>
      <c r="K160" s="259"/>
      <c r="L160" s="259"/>
      <c r="M160" s="259"/>
      <c r="N160" s="259"/>
      <c r="O160" s="259"/>
      <c r="P160" s="259"/>
      <c r="Q160" s="259"/>
      <c r="R160" s="259"/>
      <c r="S160" s="259"/>
      <c r="T160" s="259"/>
      <c r="U160" s="259"/>
      <c r="V160" s="259"/>
      <c r="W160" s="259"/>
      <c r="X160" s="259"/>
      <c r="Y160" s="259"/>
      <c r="Z160" s="259"/>
      <c r="AA160" s="259"/>
      <c r="AB160" s="259"/>
      <c r="AC160" s="259"/>
      <c r="AD160" s="259"/>
      <c r="AE160" s="259"/>
      <c r="AF160" s="259"/>
      <c r="AG160" s="259"/>
      <c r="AH160" s="259"/>
      <c r="AI160" s="259"/>
      <c r="AJ160" s="259"/>
      <c r="AK160" s="259"/>
      <c r="AL160" s="259"/>
      <c r="AM160" s="259"/>
      <c r="AN160" s="259"/>
      <c r="AO160" s="259"/>
      <c r="AP160" s="259"/>
      <c r="AQ160" s="259"/>
      <c r="AR160" s="259"/>
      <c r="AS160" s="259"/>
      <c r="AT160" s="259"/>
      <c r="AU160" s="259"/>
      <c r="AV160" s="259"/>
      <c r="AW160" s="259"/>
      <c r="AX160" s="259"/>
      <c r="AY160" s="259"/>
      <c r="AZ160" s="259"/>
      <c r="BA160" s="259"/>
      <c r="BB160" s="259"/>
      <c r="BC160" s="259"/>
      <c r="BD160" s="259"/>
      <c r="BE160" s="259"/>
      <c r="BF160" s="259"/>
      <c r="BG160" s="259"/>
    </row>
    <row r="161" spans="1:59" s="2" customFormat="1" x14ac:dyDescent="0.2">
      <c r="A161" s="47">
        <v>3319</v>
      </c>
      <c r="B161" s="48">
        <v>5222</v>
      </c>
      <c r="C161" s="46" t="s">
        <v>200</v>
      </c>
      <c r="D161" s="66">
        <v>20</v>
      </c>
      <c r="E161" s="66">
        <f>20+20-20</f>
        <v>20</v>
      </c>
      <c r="F161" s="129">
        <v>20000</v>
      </c>
      <c r="G161" s="231">
        <v>20</v>
      </c>
      <c r="H161" s="237"/>
      <c r="I161" s="258"/>
      <c r="J161" s="258"/>
      <c r="K161" s="259"/>
      <c r="L161" s="259"/>
      <c r="M161" s="259"/>
      <c r="N161" s="259"/>
      <c r="O161" s="259"/>
      <c r="P161" s="259"/>
      <c r="Q161" s="259"/>
      <c r="R161" s="259"/>
      <c r="S161" s="259"/>
      <c r="T161" s="259"/>
      <c r="U161" s="259"/>
      <c r="V161" s="259"/>
      <c r="W161" s="259"/>
      <c r="X161" s="259"/>
      <c r="Y161" s="259"/>
      <c r="Z161" s="259"/>
      <c r="AA161" s="259"/>
      <c r="AB161" s="259"/>
      <c r="AC161" s="259"/>
      <c r="AD161" s="259"/>
      <c r="AE161" s="259"/>
      <c r="AF161" s="259"/>
      <c r="AG161" s="259"/>
      <c r="AH161" s="259"/>
      <c r="AI161" s="259"/>
      <c r="AJ161" s="259"/>
      <c r="AK161" s="259"/>
      <c r="AL161" s="259"/>
      <c r="AM161" s="259"/>
      <c r="AN161" s="259"/>
      <c r="AO161" s="259"/>
      <c r="AP161" s="259"/>
      <c r="AQ161" s="259"/>
      <c r="AR161" s="259"/>
      <c r="AS161" s="259"/>
      <c r="AT161" s="259"/>
      <c r="AU161" s="259"/>
      <c r="AV161" s="259"/>
      <c r="AW161" s="259"/>
      <c r="AX161" s="259"/>
      <c r="AY161" s="259"/>
      <c r="AZ161" s="259"/>
      <c r="BA161" s="259"/>
      <c r="BB161" s="259"/>
      <c r="BC161" s="259"/>
      <c r="BD161" s="259"/>
      <c r="BE161" s="259"/>
      <c r="BF161" s="259"/>
      <c r="BG161" s="259"/>
    </row>
    <row r="162" spans="1:59" s="2" customFormat="1" ht="15" customHeight="1" x14ac:dyDescent="0.2">
      <c r="A162" s="47">
        <v>3319</v>
      </c>
      <c r="B162" s="48">
        <v>5339</v>
      </c>
      <c r="C162" s="46" t="s">
        <v>322</v>
      </c>
      <c r="D162" s="66">
        <v>10</v>
      </c>
      <c r="E162" s="66">
        <v>10</v>
      </c>
      <c r="F162" s="129">
        <v>10000</v>
      </c>
      <c r="G162" s="231">
        <v>10</v>
      </c>
      <c r="H162" s="237"/>
      <c r="I162" s="258"/>
      <c r="J162" s="258"/>
      <c r="K162" s="259"/>
      <c r="L162" s="259"/>
      <c r="M162" s="259"/>
      <c r="N162" s="259"/>
      <c r="O162" s="259"/>
      <c r="P162" s="259"/>
      <c r="Q162" s="259"/>
      <c r="R162" s="259"/>
      <c r="S162" s="259"/>
      <c r="T162" s="259"/>
      <c r="U162" s="259"/>
      <c r="V162" s="259"/>
      <c r="W162" s="259"/>
      <c r="X162" s="259"/>
      <c r="Y162" s="259"/>
      <c r="Z162" s="259"/>
      <c r="AA162" s="259"/>
      <c r="AB162" s="259"/>
      <c r="AC162" s="259"/>
      <c r="AD162" s="259"/>
      <c r="AE162" s="259"/>
      <c r="AF162" s="259"/>
      <c r="AG162" s="259"/>
      <c r="AH162" s="259"/>
      <c r="AI162" s="259"/>
      <c r="AJ162" s="259"/>
      <c r="AK162" s="259"/>
      <c r="AL162" s="259"/>
      <c r="AM162" s="259"/>
      <c r="AN162" s="259"/>
      <c r="AO162" s="259"/>
      <c r="AP162" s="259"/>
      <c r="AQ162" s="259"/>
      <c r="AR162" s="259"/>
      <c r="AS162" s="259"/>
      <c r="AT162" s="259"/>
      <c r="AU162" s="259"/>
      <c r="AV162" s="259"/>
      <c r="AW162" s="259"/>
      <c r="AX162" s="259"/>
      <c r="AY162" s="259"/>
      <c r="AZ162" s="259"/>
      <c r="BA162" s="259"/>
      <c r="BB162" s="259"/>
      <c r="BC162" s="259"/>
      <c r="BD162" s="259"/>
      <c r="BE162" s="259"/>
      <c r="BF162" s="259"/>
      <c r="BG162" s="259"/>
    </row>
    <row r="163" spans="1:59" s="2" customFormat="1" x14ac:dyDescent="0.2">
      <c r="A163" s="47">
        <v>3319</v>
      </c>
      <c r="B163" s="48">
        <v>5492</v>
      </c>
      <c r="C163" s="46" t="s">
        <v>174</v>
      </c>
      <c r="D163" s="66">
        <v>20</v>
      </c>
      <c r="E163" s="66">
        <f>20+10</f>
        <v>30</v>
      </c>
      <c r="F163" s="129">
        <v>29600</v>
      </c>
      <c r="G163" s="231">
        <v>30</v>
      </c>
      <c r="H163" s="237"/>
      <c r="I163" s="258"/>
      <c r="J163" s="258"/>
      <c r="K163" s="259"/>
      <c r="L163" s="259"/>
      <c r="M163" s="259"/>
      <c r="N163" s="259"/>
      <c r="O163" s="259"/>
      <c r="P163" s="259"/>
      <c r="Q163" s="259"/>
      <c r="R163" s="259"/>
      <c r="S163" s="259"/>
      <c r="T163" s="259"/>
      <c r="U163" s="259"/>
      <c r="V163" s="259"/>
      <c r="W163" s="259"/>
      <c r="X163" s="259"/>
      <c r="Y163" s="259"/>
      <c r="Z163" s="259"/>
      <c r="AA163" s="259"/>
      <c r="AB163" s="259"/>
      <c r="AC163" s="259"/>
      <c r="AD163" s="259"/>
      <c r="AE163" s="259"/>
      <c r="AF163" s="259"/>
      <c r="AG163" s="259"/>
      <c r="AH163" s="259"/>
      <c r="AI163" s="259"/>
      <c r="AJ163" s="259"/>
      <c r="AK163" s="259"/>
      <c r="AL163" s="259"/>
      <c r="AM163" s="259"/>
      <c r="AN163" s="259"/>
      <c r="AO163" s="259"/>
      <c r="AP163" s="259"/>
      <c r="AQ163" s="259"/>
      <c r="AR163" s="259"/>
      <c r="AS163" s="259"/>
      <c r="AT163" s="259"/>
      <c r="AU163" s="259"/>
      <c r="AV163" s="259"/>
      <c r="AW163" s="259"/>
      <c r="AX163" s="259"/>
      <c r="AY163" s="259"/>
      <c r="AZ163" s="259"/>
      <c r="BA163" s="259"/>
      <c r="BB163" s="259"/>
      <c r="BC163" s="259"/>
      <c r="BD163" s="259"/>
      <c r="BE163" s="259"/>
      <c r="BF163" s="259"/>
      <c r="BG163" s="259"/>
    </row>
    <row r="164" spans="1:59" s="2" customFormat="1" x14ac:dyDescent="0.2">
      <c r="A164" s="47">
        <v>3319</v>
      </c>
      <c r="B164" s="48">
        <v>5499</v>
      </c>
      <c r="C164" s="46" t="s">
        <v>223</v>
      </c>
      <c r="D164" s="66">
        <v>350</v>
      </c>
      <c r="E164" s="66">
        <v>350</v>
      </c>
      <c r="F164" s="129">
        <v>318620</v>
      </c>
      <c r="G164" s="231">
        <f>350+30</f>
        <v>380</v>
      </c>
      <c r="H164" s="237"/>
      <c r="I164" s="258"/>
      <c r="J164" s="258"/>
      <c r="K164" s="259"/>
      <c r="L164" s="259"/>
      <c r="M164" s="259"/>
      <c r="N164" s="259"/>
      <c r="O164" s="259"/>
      <c r="P164" s="259"/>
      <c r="Q164" s="259"/>
      <c r="R164" s="259"/>
      <c r="S164" s="259"/>
      <c r="T164" s="259"/>
      <c r="U164" s="259"/>
      <c r="V164" s="259"/>
      <c r="W164" s="259"/>
      <c r="X164" s="259"/>
      <c r="Y164" s="259"/>
      <c r="Z164" s="259"/>
      <c r="AA164" s="259"/>
      <c r="AB164" s="259"/>
      <c r="AC164" s="259"/>
      <c r="AD164" s="259"/>
      <c r="AE164" s="259"/>
      <c r="AF164" s="259"/>
      <c r="AG164" s="259"/>
      <c r="AH164" s="259"/>
      <c r="AI164" s="259"/>
      <c r="AJ164" s="259"/>
      <c r="AK164" s="259"/>
      <c r="AL164" s="259"/>
      <c r="AM164" s="259"/>
      <c r="AN164" s="259"/>
      <c r="AO164" s="259"/>
      <c r="AP164" s="259"/>
      <c r="AQ164" s="259"/>
      <c r="AR164" s="259"/>
      <c r="AS164" s="259"/>
      <c r="AT164" s="259"/>
      <c r="AU164" s="259"/>
      <c r="AV164" s="259"/>
      <c r="AW164" s="259"/>
      <c r="AX164" s="259"/>
      <c r="AY164" s="259"/>
      <c r="AZ164" s="259"/>
      <c r="BA164" s="259"/>
      <c r="BB164" s="259"/>
      <c r="BC164" s="259"/>
      <c r="BD164" s="259"/>
      <c r="BE164" s="259"/>
      <c r="BF164" s="259"/>
      <c r="BG164" s="259"/>
    </row>
    <row r="165" spans="1:59" s="3" customFormat="1" ht="15.75" x14ac:dyDescent="0.25">
      <c r="A165" s="24">
        <v>3319</v>
      </c>
      <c r="B165" s="25"/>
      <c r="C165" s="57" t="s">
        <v>16</v>
      </c>
      <c r="D165" s="67">
        <f>SUM(D148:D164)</f>
        <v>2176</v>
      </c>
      <c r="E165" s="67">
        <f>SUM(E148:E164)</f>
        <v>2306</v>
      </c>
      <c r="F165" s="130">
        <f>SUM(F148:F164)</f>
        <v>1589671.51</v>
      </c>
      <c r="G165" s="233">
        <f>SUM(G148:G164)</f>
        <v>2262</v>
      </c>
      <c r="H165" s="239">
        <f>G165</f>
        <v>2262</v>
      </c>
      <c r="I165" s="251"/>
      <c r="J165" s="258"/>
      <c r="K165" s="265"/>
      <c r="L165" s="265"/>
      <c r="M165" s="265"/>
      <c r="N165" s="265"/>
      <c r="O165" s="265"/>
      <c r="P165" s="265"/>
      <c r="Q165" s="265"/>
      <c r="R165" s="265"/>
      <c r="S165" s="265"/>
      <c r="T165" s="265"/>
      <c r="U165" s="265"/>
      <c r="V165" s="265"/>
      <c r="W165" s="265"/>
      <c r="X165" s="265"/>
      <c r="Y165" s="265"/>
      <c r="Z165" s="265"/>
      <c r="AA165" s="265"/>
      <c r="AB165" s="265"/>
      <c r="AC165" s="265"/>
      <c r="AD165" s="265"/>
      <c r="AE165" s="265"/>
      <c r="AF165" s="265"/>
      <c r="AG165" s="265"/>
      <c r="AH165" s="265"/>
      <c r="AI165" s="265"/>
      <c r="AJ165" s="265"/>
      <c r="AK165" s="265"/>
      <c r="AL165" s="265"/>
      <c r="AM165" s="265"/>
      <c r="AN165" s="265"/>
      <c r="AO165" s="265"/>
      <c r="AP165" s="265"/>
      <c r="AQ165" s="265"/>
      <c r="AR165" s="265"/>
      <c r="AS165" s="265"/>
      <c r="AT165" s="265"/>
      <c r="AU165" s="265"/>
      <c r="AV165" s="265"/>
      <c r="AW165" s="265"/>
      <c r="AX165" s="265"/>
      <c r="AY165" s="265"/>
      <c r="AZ165" s="265"/>
      <c r="BA165" s="265"/>
      <c r="BB165" s="265"/>
      <c r="BC165" s="265"/>
      <c r="BD165" s="265"/>
      <c r="BE165" s="265"/>
      <c r="BF165" s="265"/>
      <c r="BG165" s="265"/>
    </row>
    <row r="166" spans="1:59" x14ac:dyDescent="0.2">
      <c r="A166" s="8"/>
      <c r="B166" s="10"/>
      <c r="C166" s="58"/>
      <c r="D166" s="66"/>
      <c r="E166" s="66"/>
      <c r="F166" s="129"/>
      <c r="G166" s="231"/>
      <c r="H166" s="237"/>
    </row>
    <row r="167" spans="1:59" ht="30" x14ac:dyDescent="0.2">
      <c r="A167" s="8">
        <v>3322</v>
      </c>
      <c r="B167" s="10">
        <v>5171</v>
      </c>
      <c r="C167" s="58" t="s">
        <v>216</v>
      </c>
      <c r="D167" s="66">
        <v>200</v>
      </c>
      <c r="E167" s="66">
        <v>200</v>
      </c>
      <c r="F167" s="129">
        <v>14858.8</v>
      </c>
      <c r="G167" s="231">
        <v>200</v>
      </c>
      <c r="H167" s="237"/>
    </row>
    <row r="168" spans="1:59" ht="15.75" x14ac:dyDescent="0.25">
      <c r="A168" s="24">
        <v>3322</v>
      </c>
      <c r="B168" s="10"/>
      <c r="C168" s="57" t="s">
        <v>219</v>
      </c>
      <c r="D168" s="67">
        <f>SUM(D167:D167)</f>
        <v>200</v>
      </c>
      <c r="E168" s="67">
        <f>SUM(E167:E167)</f>
        <v>200</v>
      </c>
      <c r="F168" s="130">
        <f>SUM(F167:F167)</f>
        <v>14858.8</v>
      </c>
      <c r="G168" s="233">
        <f>SUM(G167)</f>
        <v>200</v>
      </c>
      <c r="H168" s="239">
        <f>G168</f>
        <v>200</v>
      </c>
    </row>
    <row r="169" spans="1:59" ht="15.75" x14ac:dyDescent="0.25">
      <c r="A169" s="24"/>
      <c r="B169" s="10"/>
      <c r="C169" s="57"/>
      <c r="D169" s="67"/>
      <c r="E169" s="67"/>
      <c r="F169" s="130"/>
      <c r="G169" s="231"/>
      <c r="H169" s="237"/>
    </row>
    <row r="170" spans="1:59" s="160" customFormat="1" x14ac:dyDescent="0.2">
      <c r="A170" s="8">
        <v>3412</v>
      </c>
      <c r="B170" s="45">
        <v>5137</v>
      </c>
      <c r="C170" s="46" t="s">
        <v>272</v>
      </c>
      <c r="D170" s="66">
        <v>0</v>
      </c>
      <c r="E170" s="66">
        <v>1000</v>
      </c>
      <c r="F170" s="129">
        <v>487722.49</v>
      </c>
      <c r="G170" s="231">
        <v>0</v>
      </c>
      <c r="H170" s="237"/>
      <c r="I170" s="258"/>
      <c r="J170" s="251"/>
      <c r="K170" s="251"/>
      <c r="L170" s="251"/>
      <c r="M170" s="251"/>
      <c r="N170" s="251"/>
      <c r="O170" s="251"/>
      <c r="P170" s="251"/>
      <c r="Q170" s="251"/>
      <c r="R170" s="251"/>
      <c r="S170" s="251"/>
      <c r="T170" s="251"/>
      <c r="U170" s="251"/>
      <c r="V170" s="251"/>
      <c r="W170" s="251"/>
      <c r="X170" s="251"/>
      <c r="Y170" s="251"/>
      <c r="Z170" s="251"/>
      <c r="AA170" s="251"/>
      <c r="AB170" s="251"/>
      <c r="AC170" s="251"/>
      <c r="AD170" s="251"/>
      <c r="AE170" s="251"/>
      <c r="AF170" s="251"/>
      <c r="AG170" s="251"/>
      <c r="AH170" s="251"/>
      <c r="AI170" s="251"/>
      <c r="AJ170" s="251"/>
      <c r="AK170" s="251"/>
      <c r="AL170" s="251"/>
      <c r="AM170" s="251"/>
      <c r="AN170" s="251"/>
      <c r="AO170" s="251"/>
      <c r="AP170" s="251"/>
      <c r="AQ170" s="251"/>
      <c r="AR170" s="251"/>
      <c r="AS170" s="251"/>
      <c r="AT170" s="251"/>
      <c r="AU170" s="251"/>
      <c r="AV170" s="251"/>
      <c r="AW170" s="251"/>
      <c r="AX170" s="251"/>
      <c r="AY170" s="251"/>
      <c r="AZ170" s="251"/>
      <c r="BA170" s="251"/>
      <c r="BB170" s="251"/>
      <c r="BC170" s="251"/>
      <c r="BD170" s="251"/>
      <c r="BE170" s="251"/>
      <c r="BF170" s="251"/>
      <c r="BG170" s="251"/>
    </row>
    <row r="171" spans="1:59" s="160" customFormat="1" x14ac:dyDescent="0.2">
      <c r="A171" s="8">
        <v>3412</v>
      </c>
      <c r="B171" s="45">
        <v>5169</v>
      </c>
      <c r="C171" s="46" t="s">
        <v>412</v>
      </c>
      <c r="D171" s="66">
        <v>0</v>
      </c>
      <c r="E171" s="66">
        <v>0</v>
      </c>
      <c r="F171" s="129">
        <v>284350</v>
      </c>
      <c r="G171" s="231">
        <v>50</v>
      </c>
      <c r="H171" s="237"/>
      <c r="I171" s="258"/>
      <c r="J171" s="251"/>
      <c r="K171" s="251"/>
      <c r="L171" s="251"/>
      <c r="M171" s="251"/>
      <c r="N171" s="251"/>
      <c r="O171" s="251"/>
      <c r="P171" s="251"/>
      <c r="Q171" s="251"/>
      <c r="R171" s="251"/>
      <c r="S171" s="251"/>
      <c r="T171" s="251"/>
      <c r="U171" s="251"/>
      <c r="V171" s="251"/>
      <c r="W171" s="251"/>
      <c r="X171" s="251"/>
      <c r="Y171" s="251"/>
      <c r="Z171" s="251"/>
      <c r="AA171" s="251"/>
      <c r="AB171" s="251"/>
      <c r="AC171" s="251"/>
      <c r="AD171" s="251"/>
      <c r="AE171" s="251"/>
      <c r="AF171" s="251"/>
      <c r="AG171" s="251"/>
      <c r="AH171" s="251"/>
      <c r="AI171" s="251"/>
      <c r="AJ171" s="251"/>
      <c r="AK171" s="251"/>
      <c r="AL171" s="251"/>
      <c r="AM171" s="251"/>
      <c r="AN171" s="251"/>
      <c r="AO171" s="251"/>
      <c r="AP171" s="251"/>
      <c r="AQ171" s="251"/>
      <c r="AR171" s="251"/>
      <c r="AS171" s="251"/>
      <c r="AT171" s="251"/>
      <c r="AU171" s="251"/>
      <c r="AV171" s="251"/>
      <c r="AW171" s="251"/>
      <c r="AX171" s="251"/>
      <c r="AY171" s="251"/>
      <c r="AZ171" s="251"/>
      <c r="BA171" s="251"/>
      <c r="BB171" s="251"/>
      <c r="BC171" s="251"/>
      <c r="BD171" s="251"/>
      <c r="BE171" s="251"/>
      <c r="BF171" s="251"/>
      <c r="BG171" s="251"/>
    </row>
    <row r="172" spans="1:59" s="6" customFormat="1" x14ac:dyDescent="0.2">
      <c r="A172" s="8">
        <v>3412</v>
      </c>
      <c r="B172" s="45">
        <v>5229</v>
      </c>
      <c r="C172" s="62" t="s">
        <v>177</v>
      </c>
      <c r="D172" s="66">
        <v>300</v>
      </c>
      <c r="E172" s="66">
        <v>300</v>
      </c>
      <c r="F172" s="129">
        <v>300000</v>
      </c>
      <c r="G172" s="231">
        <v>300</v>
      </c>
      <c r="H172" s="237"/>
      <c r="I172" s="251"/>
      <c r="J172" s="251"/>
      <c r="K172" s="264"/>
      <c r="L172" s="264"/>
      <c r="M172" s="264"/>
      <c r="N172" s="264"/>
      <c r="O172" s="264"/>
      <c r="P172" s="264"/>
      <c r="Q172" s="264"/>
      <c r="R172" s="264"/>
      <c r="S172" s="264"/>
      <c r="T172" s="264"/>
      <c r="U172" s="264"/>
      <c r="V172" s="264"/>
      <c r="W172" s="264"/>
      <c r="X172" s="264"/>
      <c r="Y172" s="264"/>
      <c r="Z172" s="264"/>
      <c r="AA172" s="264"/>
      <c r="AB172" s="264"/>
      <c r="AC172" s="264"/>
      <c r="AD172" s="264"/>
      <c r="AE172" s="264"/>
      <c r="AF172" s="264"/>
      <c r="AG172" s="264"/>
      <c r="AH172" s="264"/>
      <c r="AI172" s="264"/>
      <c r="AJ172" s="264"/>
      <c r="AK172" s="264"/>
      <c r="AL172" s="264"/>
      <c r="AM172" s="264"/>
      <c r="AN172" s="264"/>
      <c r="AO172" s="264"/>
      <c r="AP172" s="264"/>
      <c r="AQ172" s="264"/>
      <c r="AR172" s="264"/>
      <c r="AS172" s="264"/>
      <c r="AT172" s="264"/>
      <c r="AU172" s="264"/>
      <c r="AV172" s="264"/>
      <c r="AW172" s="264"/>
      <c r="AX172" s="264"/>
      <c r="AY172" s="264"/>
      <c r="AZ172" s="264"/>
      <c r="BA172" s="264"/>
      <c r="BB172" s="264"/>
      <c r="BC172" s="264"/>
      <c r="BD172" s="264"/>
      <c r="BE172" s="264"/>
      <c r="BF172" s="264"/>
      <c r="BG172" s="264"/>
    </row>
    <row r="173" spans="1:59" s="6" customFormat="1" x14ac:dyDescent="0.2">
      <c r="A173" s="47">
        <v>3421</v>
      </c>
      <c r="B173" s="48">
        <v>6121</v>
      </c>
      <c r="C173" s="88" t="s">
        <v>368</v>
      </c>
      <c r="D173" s="103">
        <v>17000</v>
      </c>
      <c r="E173" s="103">
        <f>17000+9000</f>
        <v>26000</v>
      </c>
      <c r="F173" s="134">
        <v>17886136.309999999</v>
      </c>
      <c r="G173" s="231">
        <v>0</v>
      </c>
      <c r="H173" s="237"/>
      <c r="I173" s="251"/>
      <c r="J173" s="251"/>
      <c r="K173" s="264"/>
      <c r="L173" s="264"/>
      <c r="M173" s="264"/>
      <c r="N173" s="264"/>
      <c r="O173" s="264"/>
      <c r="P173" s="264"/>
      <c r="Q173" s="264"/>
      <c r="R173" s="264"/>
      <c r="S173" s="264"/>
      <c r="T173" s="264"/>
      <c r="U173" s="264"/>
      <c r="V173" s="264"/>
      <c r="W173" s="264"/>
      <c r="X173" s="264"/>
      <c r="Y173" s="264"/>
      <c r="Z173" s="264"/>
      <c r="AA173" s="264"/>
      <c r="AB173" s="264"/>
      <c r="AC173" s="264"/>
      <c r="AD173" s="264"/>
      <c r="AE173" s="264"/>
      <c r="AF173" s="264"/>
      <c r="AG173" s="264"/>
      <c r="AH173" s="264"/>
      <c r="AI173" s="264"/>
      <c r="AJ173" s="264"/>
      <c r="AK173" s="264"/>
      <c r="AL173" s="264"/>
      <c r="AM173" s="264"/>
      <c r="AN173" s="264"/>
      <c r="AO173" s="264"/>
      <c r="AP173" s="264"/>
      <c r="AQ173" s="264"/>
      <c r="AR173" s="264"/>
      <c r="AS173" s="264"/>
      <c r="AT173" s="264"/>
      <c r="AU173" s="264"/>
      <c r="AV173" s="264"/>
      <c r="AW173" s="264"/>
      <c r="AX173" s="264"/>
      <c r="AY173" s="264"/>
      <c r="AZ173" s="264"/>
      <c r="BA173" s="264"/>
      <c r="BB173" s="264"/>
      <c r="BC173" s="264"/>
      <c r="BD173" s="264"/>
      <c r="BE173" s="264"/>
      <c r="BF173" s="264"/>
      <c r="BG173" s="264"/>
    </row>
    <row r="174" spans="1:59" s="6" customFormat="1" ht="30" x14ac:dyDescent="0.2">
      <c r="A174" s="47">
        <v>3421</v>
      </c>
      <c r="B174" s="48">
        <v>6121</v>
      </c>
      <c r="C174" s="88" t="s">
        <v>369</v>
      </c>
      <c r="D174" s="103"/>
      <c r="E174" s="103"/>
      <c r="F174" s="134"/>
      <c r="G174" s="230">
        <v>1000</v>
      </c>
      <c r="H174" s="237"/>
      <c r="I174" s="251"/>
      <c r="J174" s="251"/>
      <c r="K174" s="264"/>
      <c r="L174" s="264"/>
      <c r="M174" s="264"/>
      <c r="N174" s="264"/>
      <c r="O174" s="264"/>
      <c r="P174" s="264"/>
      <c r="Q174" s="264"/>
      <c r="R174" s="264"/>
      <c r="S174" s="264"/>
      <c r="T174" s="264"/>
      <c r="U174" s="264"/>
      <c r="V174" s="264"/>
      <c r="W174" s="264"/>
      <c r="X174" s="264"/>
      <c r="Y174" s="264"/>
      <c r="Z174" s="264"/>
      <c r="AA174" s="264"/>
      <c r="AB174" s="264"/>
      <c r="AC174" s="264"/>
      <c r="AD174" s="264"/>
      <c r="AE174" s="264"/>
      <c r="AF174" s="264"/>
      <c r="AG174" s="264"/>
      <c r="AH174" s="264"/>
      <c r="AI174" s="264"/>
      <c r="AJ174" s="264"/>
      <c r="AK174" s="264"/>
      <c r="AL174" s="264"/>
      <c r="AM174" s="264"/>
      <c r="AN174" s="264"/>
      <c r="AO174" s="264"/>
      <c r="AP174" s="264"/>
      <c r="AQ174" s="264"/>
      <c r="AR174" s="264"/>
      <c r="AS174" s="264"/>
      <c r="AT174" s="264"/>
      <c r="AU174" s="264"/>
      <c r="AV174" s="264"/>
      <c r="AW174" s="264"/>
      <c r="AX174" s="264"/>
      <c r="AY174" s="264"/>
      <c r="AZ174" s="264"/>
      <c r="BA174" s="264"/>
      <c r="BB174" s="264"/>
      <c r="BC174" s="264"/>
      <c r="BD174" s="264"/>
      <c r="BE174" s="264"/>
      <c r="BF174" s="264"/>
      <c r="BG174" s="264"/>
    </row>
    <row r="175" spans="1:59" s="4" customFormat="1" ht="15.75" x14ac:dyDescent="0.25">
      <c r="A175" s="27">
        <v>3412</v>
      </c>
      <c r="B175" s="28"/>
      <c r="C175" s="59" t="s">
        <v>54</v>
      </c>
      <c r="D175" s="67">
        <f>SUM(D170:D174)</f>
        <v>17300</v>
      </c>
      <c r="E175" s="67">
        <f>SUM(E170:E174)</f>
        <v>27300</v>
      </c>
      <c r="F175" s="130">
        <f>SUM(F170:F174)</f>
        <v>18958208.799999997</v>
      </c>
      <c r="G175" s="233">
        <f>SUM(G170:G174)</f>
        <v>1350</v>
      </c>
      <c r="H175" s="239">
        <f>G175</f>
        <v>1350</v>
      </c>
      <c r="I175" s="251"/>
      <c r="J175" s="251"/>
      <c r="K175" s="266"/>
      <c r="L175" s="266"/>
      <c r="M175" s="266"/>
      <c r="N175" s="266"/>
      <c r="O175" s="266"/>
      <c r="P175" s="266"/>
      <c r="Q175" s="266"/>
      <c r="R175" s="266"/>
      <c r="S175" s="266"/>
      <c r="T175" s="266"/>
      <c r="U175" s="266"/>
      <c r="V175" s="266"/>
      <c r="W175" s="266"/>
      <c r="X175" s="266"/>
      <c r="Y175" s="266"/>
      <c r="Z175" s="266"/>
      <c r="AA175" s="266"/>
      <c r="AB175" s="266"/>
      <c r="AC175" s="266"/>
      <c r="AD175" s="266"/>
      <c r="AE175" s="266"/>
      <c r="AF175" s="266"/>
      <c r="AG175" s="266"/>
      <c r="AH175" s="266"/>
      <c r="AI175" s="266"/>
      <c r="AJ175" s="266"/>
      <c r="AK175" s="266"/>
      <c r="AL175" s="266"/>
      <c r="AM175" s="266"/>
      <c r="AN175" s="266"/>
      <c r="AO175" s="266"/>
      <c r="AP175" s="266"/>
      <c r="AQ175" s="266"/>
      <c r="AR175" s="266"/>
      <c r="AS175" s="266"/>
      <c r="AT175" s="266"/>
      <c r="AU175" s="266"/>
      <c r="AV175" s="266"/>
      <c r="AW175" s="266"/>
      <c r="AX175" s="266"/>
      <c r="AY175" s="266"/>
      <c r="AZ175" s="266"/>
      <c r="BA175" s="266"/>
      <c r="BB175" s="266"/>
      <c r="BC175" s="266"/>
      <c r="BD175" s="266"/>
      <c r="BE175" s="266"/>
      <c r="BF175" s="266"/>
      <c r="BG175" s="266"/>
    </row>
    <row r="176" spans="1:59" s="6" customFormat="1" x14ac:dyDescent="0.2">
      <c r="A176" s="8"/>
      <c r="B176" s="10"/>
      <c r="C176" s="58"/>
      <c r="D176" s="66"/>
      <c r="E176" s="66"/>
      <c r="F176" s="129"/>
      <c r="G176" s="231"/>
      <c r="H176" s="237"/>
      <c r="I176" s="251"/>
      <c r="J176" s="251"/>
      <c r="K176" s="264"/>
      <c r="L176" s="264"/>
      <c r="M176" s="264"/>
      <c r="N176" s="264"/>
      <c r="O176" s="264"/>
      <c r="P176" s="264"/>
      <c r="Q176" s="264"/>
      <c r="R176" s="264"/>
      <c r="S176" s="264"/>
      <c r="T176" s="264"/>
      <c r="U176" s="264"/>
      <c r="V176" s="264"/>
      <c r="W176" s="264"/>
      <c r="X176" s="264"/>
      <c r="Y176" s="264"/>
      <c r="Z176" s="264"/>
      <c r="AA176" s="264"/>
      <c r="AB176" s="264"/>
      <c r="AC176" s="264"/>
      <c r="AD176" s="264"/>
      <c r="AE176" s="264"/>
      <c r="AF176" s="264"/>
      <c r="AG176" s="264"/>
      <c r="AH176" s="264"/>
      <c r="AI176" s="264"/>
      <c r="AJ176" s="264"/>
      <c r="AK176" s="264"/>
      <c r="AL176" s="264"/>
      <c r="AM176" s="264"/>
      <c r="AN176" s="264"/>
      <c r="AO176" s="264"/>
      <c r="AP176" s="264"/>
      <c r="AQ176" s="264"/>
      <c r="AR176" s="264"/>
      <c r="AS176" s="264"/>
      <c r="AT176" s="264"/>
      <c r="AU176" s="264"/>
      <c r="AV176" s="264"/>
      <c r="AW176" s="264"/>
      <c r="AX176" s="264"/>
      <c r="AY176" s="264"/>
      <c r="AZ176" s="264"/>
      <c r="BA176" s="264"/>
      <c r="BB176" s="264"/>
      <c r="BC176" s="264"/>
      <c r="BD176" s="264"/>
      <c r="BE176" s="264"/>
      <c r="BF176" s="264"/>
      <c r="BG176" s="264"/>
    </row>
    <row r="177" spans="1:59" s="6" customFormat="1" x14ac:dyDescent="0.2">
      <c r="A177" s="8">
        <v>3419</v>
      </c>
      <c r="B177" s="45">
        <v>5222</v>
      </c>
      <c r="C177" s="62" t="s">
        <v>323</v>
      </c>
      <c r="D177" s="66">
        <v>240</v>
      </c>
      <c r="E177" s="66">
        <v>240</v>
      </c>
      <c r="F177" s="129">
        <f>10000+200000</f>
        <v>210000</v>
      </c>
      <c r="G177" s="231">
        <v>240</v>
      </c>
      <c r="H177" s="237"/>
      <c r="I177" s="258"/>
      <c r="J177" s="251"/>
      <c r="K177" s="264"/>
      <c r="L177" s="264"/>
      <c r="M177" s="264"/>
      <c r="N177" s="264"/>
      <c r="O177" s="264"/>
      <c r="P177" s="264"/>
      <c r="Q177" s="264"/>
      <c r="R177" s="264"/>
      <c r="S177" s="264"/>
      <c r="T177" s="264"/>
      <c r="U177" s="264"/>
      <c r="V177" s="264"/>
      <c r="W177" s="264"/>
      <c r="X177" s="264"/>
      <c r="Y177" s="264"/>
      <c r="Z177" s="264"/>
      <c r="AA177" s="264"/>
      <c r="AB177" s="264"/>
      <c r="AC177" s="264"/>
      <c r="AD177" s="264"/>
      <c r="AE177" s="264"/>
      <c r="AF177" s="264"/>
      <c r="AG177" s="264"/>
      <c r="AH177" s="264"/>
      <c r="AI177" s="264"/>
      <c r="AJ177" s="264"/>
      <c r="AK177" s="264"/>
      <c r="AL177" s="264"/>
      <c r="AM177" s="264"/>
      <c r="AN177" s="264"/>
      <c r="AO177" s="264"/>
      <c r="AP177" s="264"/>
      <c r="AQ177" s="264"/>
      <c r="AR177" s="264"/>
      <c r="AS177" s="264"/>
      <c r="AT177" s="264"/>
      <c r="AU177" s="264"/>
      <c r="AV177" s="264"/>
      <c r="AW177" s="264"/>
      <c r="AX177" s="264"/>
      <c r="AY177" s="264"/>
      <c r="AZ177" s="264"/>
      <c r="BA177" s="264"/>
      <c r="BB177" s="264"/>
      <c r="BC177" s="264"/>
      <c r="BD177" s="264"/>
      <c r="BE177" s="264"/>
      <c r="BF177" s="264"/>
      <c r="BG177" s="264"/>
    </row>
    <row r="178" spans="1:59" s="6" customFormat="1" x14ac:dyDescent="0.2">
      <c r="A178" s="47">
        <v>3419</v>
      </c>
      <c r="B178" s="48">
        <v>5229</v>
      </c>
      <c r="C178" s="46" t="s">
        <v>324</v>
      </c>
      <c r="D178" s="66">
        <v>200</v>
      </c>
      <c r="E178" s="66">
        <f>200+200-200</f>
        <v>200</v>
      </c>
      <c r="F178" s="129">
        <v>200000</v>
      </c>
      <c r="G178" s="231">
        <v>200</v>
      </c>
      <c r="H178" s="237"/>
      <c r="I178" s="251"/>
      <c r="J178" s="251"/>
      <c r="K178" s="264"/>
      <c r="L178" s="264"/>
      <c r="M178" s="264"/>
      <c r="N178" s="264"/>
      <c r="O178" s="264"/>
      <c r="P178" s="264"/>
      <c r="Q178" s="264"/>
      <c r="R178" s="264"/>
      <c r="S178" s="264"/>
      <c r="T178" s="264"/>
      <c r="U178" s="264"/>
      <c r="V178" s="264"/>
      <c r="W178" s="264"/>
      <c r="X178" s="264"/>
      <c r="Y178" s="264"/>
      <c r="Z178" s="264"/>
      <c r="AA178" s="264"/>
      <c r="AB178" s="264"/>
      <c r="AC178" s="264"/>
      <c r="AD178" s="264"/>
      <c r="AE178" s="264"/>
      <c r="AF178" s="264"/>
      <c r="AG178" s="264"/>
      <c r="AH178" s="264"/>
      <c r="AI178" s="264"/>
      <c r="AJ178" s="264"/>
      <c r="AK178" s="264"/>
      <c r="AL178" s="264"/>
      <c r="AM178" s="264"/>
      <c r="AN178" s="264"/>
      <c r="AO178" s="264"/>
      <c r="AP178" s="264"/>
      <c r="AQ178" s="264"/>
      <c r="AR178" s="264"/>
      <c r="AS178" s="264"/>
      <c r="AT178" s="264"/>
      <c r="AU178" s="264"/>
      <c r="AV178" s="264"/>
      <c r="AW178" s="264"/>
      <c r="AX178" s="264"/>
      <c r="AY178" s="264"/>
      <c r="AZ178" s="264"/>
      <c r="BA178" s="264"/>
      <c r="BB178" s="264"/>
      <c r="BC178" s="264"/>
      <c r="BD178" s="264"/>
      <c r="BE178" s="264"/>
      <c r="BF178" s="264"/>
      <c r="BG178" s="264"/>
    </row>
    <row r="179" spans="1:59" s="6" customFormat="1" ht="30" x14ac:dyDescent="0.2">
      <c r="A179" s="47">
        <v>3419</v>
      </c>
      <c r="B179" s="48">
        <v>5339</v>
      </c>
      <c r="C179" s="46" t="s">
        <v>325</v>
      </c>
      <c r="D179" s="66">
        <v>20</v>
      </c>
      <c r="E179" s="66">
        <v>20</v>
      </c>
      <c r="F179" s="129">
        <v>20000</v>
      </c>
      <c r="G179" s="231">
        <v>20</v>
      </c>
      <c r="H179" s="237"/>
      <c r="I179" s="258"/>
      <c r="J179" s="251"/>
      <c r="K179" s="264"/>
      <c r="L179" s="264"/>
      <c r="M179" s="264"/>
      <c r="N179" s="264"/>
      <c r="O179" s="264"/>
      <c r="P179" s="264"/>
      <c r="Q179" s="264"/>
      <c r="R179" s="264"/>
      <c r="S179" s="264"/>
      <c r="T179" s="264"/>
      <c r="U179" s="264"/>
      <c r="V179" s="264"/>
      <c r="W179" s="264"/>
      <c r="X179" s="264"/>
      <c r="Y179" s="264"/>
      <c r="Z179" s="264"/>
      <c r="AA179" s="264"/>
      <c r="AB179" s="264"/>
      <c r="AC179" s="264"/>
      <c r="AD179" s="264"/>
      <c r="AE179" s="264"/>
      <c r="AF179" s="264"/>
      <c r="AG179" s="264"/>
      <c r="AH179" s="264"/>
      <c r="AI179" s="264"/>
      <c r="AJ179" s="264"/>
      <c r="AK179" s="264"/>
      <c r="AL179" s="264"/>
      <c r="AM179" s="264"/>
      <c r="AN179" s="264"/>
      <c r="AO179" s="264"/>
      <c r="AP179" s="264"/>
      <c r="AQ179" s="264"/>
      <c r="AR179" s="264"/>
      <c r="AS179" s="264"/>
      <c r="AT179" s="264"/>
      <c r="AU179" s="264"/>
      <c r="AV179" s="264"/>
      <c r="AW179" s="264"/>
      <c r="AX179" s="264"/>
      <c r="AY179" s="264"/>
      <c r="AZ179" s="264"/>
      <c r="BA179" s="264"/>
      <c r="BB179" s="264"/>
      <c r="BC179" s="264"/>
      <c r="BD179" s="264"/>
      <c r="BE179" s="264"/>
      <c r="BF179" s="264"/>
      <c r="BG179" s="264"/>
    </row>
    <row r="180" spans="1:59" s="4" customFormat="1" ht="15.75" x14ac:dyDescent="0.25">
      <c r="A180" s="27">
        <v>3419</v>
      </c>
      <c r="B180" s="28"/>
      <c r="C180" s="59" t="s">
        <v>127</v>
      </c>
      <c r="D180" s="67">
        <f>SUM(D177:D179)</f>
        <v>460</v>
      </c>
      <c r="E180" s="67">
        <f>SUM(E177:E179)</f>
        <v>460</v>
      </c>
      <c r="F180" s="133">
        <f>SUM(F177:F179)</f>
        <v>430000</v>
      </c>
      <c r="G180" s="233">
        <f>SUM(G177:G179)</f>
        <v>460</v>
      </c>
      <c r="H180" s="239">
        <f>G180</f>
        <v>460</v>
      </c>
      <c r="I180" s="251"/>
      <c r="J180" s="251"/>
      <c r="K180" s="266"/>
      <c r="L180" s="266"/>
      <c r="M180" s="266"/>
      <c r="N180" s="266"/>
      <c r="O180" s="266"/>
      <c r="P180" s="266"/>
      <c r="Q180" s="266"/>
      <c r="R180" s="266"/>
      <c r="S180" s="266"/>
      <c r="T180" s="266"/>
      <c r="U180" s="266"/>
      <c r="V180" s="266"/>
      <c r="W180" s="266"/>
      <c r="X180" s="266"/>
      <c r="Y180" s="266"/>
      <c r="Z180" s="266"/>
      <c r="AA180" s="266"/>
      <c r="AB180" s="266"/>
      <c r="AC180" s="266"/>
      <c r="AD180" s="266"/>
      <c r="AE180" s="266"/>
      <c r="AF180" s="266"/>
      <c r="AG180" s="266"/>
      <c r="AH180" s="266"/>
      <c r="AI180" s="266"/>
      <c r="AJ180" s="266"/>
      <c r="AK180" s="266"/>
      <c r="AL180" s="266"/>
      <c r="AM180" s="266"/>
      <c r="AN180" s="266"/>
      <c r="AO180" s="266"/>
      <c r="AP180" s="266"/>
      <c r="AQ180" s="266"/>
      <c r="AR180" s="266"/>
      <c r="AS180" s="266"/>
      <c r="AT180" s="266"/>
      <c r="AU180" s="266"/>
      <c r="AV180" s="266"/>
      <c r="AW180" s="266"/>
      <c r="AX180" s="266"/>
      <c r="AY180" s="266"/>
      <c r="AZ180" s="266"/>
      <c r="BA180" s="266"/>
      <c r="BB180" s="266"/>
      <c r="BC180" s="266"/>
      <c r="BD180" s="266"/>
      <c r="BE180" s="266"/>
      <c r="BF180" s="266"/>
      <c r="BG180" s="266"/>
    </row>
    <row r="181" spans="1:59" s="6" customFormat="1" x14ac:dyDescent="0.2">
      <c r="A181" s="8"/>
      <c r="B181" s="10"/>
      <c r="C181" s="58"/>
      <c r="D181" s="66"/>
      <c r="E181" s="66"/>
      <c r="F181" s="129"/>
      <c r="G181" s="231"/>
      <c r="H181" s="237"/>
      <c r="I181" s="251"/>
      <c r="J181" s="251"/>
      <c r="K181" s="264"/>
      <c r="L181" s="264"/>
      <c r="M181" s="264"/>
      <c r="N181" s="264"/>
      <c r="O181" s="264"/>
      <c r="P181" s="264"/>
      <c r="Q181" s="264"/>
      <c r="R181" s="264"/>
      <c r="S181" s="264"/>
      <c r="T181" s="264"/>
      <c r="U181" s="264"/>
      <c r="V181" s="264"/>
      <c r="W181" s="264"/>
      <c r="X181" s="264"/>
      <c r="Y181" s="264"/>
      <c r="Z181" s="264"/>
      <c r="AA181" s="264"/>
      <c r="AB181" s="264"/>
      <c r="AC181" s="264"/>
      <c r="AD181" s="264"/>
      <c r="AE181" s="264"/>
      <c r="AF181" s="264"/>
      <c r="AG181" s="264"/>
      <c r="AH181" s="264"/>
      <c r="AI181" s="264"/>
      <c r="AJ181" s="264"/>
      <c r="AK181" s="264"/>
      <c r="AL181" s="264"/>
      <c r="AM181" s="264"/>
      <c r="AN181" s="264"/>
      <c r="AO181" s="264"/>
      <c r="AP181" s="264"/>
      <c r="AQ181" s="264"/>
      <c r="AR181" s="264"/>
      <c r="AS181" s="264"/>
      <c r="AT181" s="264"/>
      <c r="AU181" s="264"/>
      <c r="AV181" s="264"/>
      <c r="AW181" s="264"/>
      <c r="AX181" s="264"/>
      <c r="AY181" s="264"/>
      <c r="AZ181" s="264"/>
      <c r="BA181" s="264"/>
      <c r="BB181" s="264"/>
      <c r="BC181" s="264"/>
      <c r="BD181" s="264"/>
      <c r="BE181" s="264"/>
      <c r="BF181" s="264"/>
      <c r="BG181" s="264"/>
    </row>
    <row r="182" spans="1:59" s="6" customFormat="1" x14ac:dyDescent="0.2">
      <c r="A182" s="47">
        <v>3421</v>
      </c>
      <c r="B182" s="48">
        <v>5137</v>
      </c>
      <c r="C182" s="46" t="s">
        <v>195</v>
      </c>
      <c r="D182" s="66">
        <v>50</v>
      </c>
      <c r="E182" s="66">
        <v>50</v>
      </c>
      <c r="F182" s="129">
        <v>37050.199999999997</v>
      </c>
      <c r="G182" s="231">
        <v>50</v>
      </c>
      <c r="H182" s="237"/>
      <c r="I182" s="251"/>
      <c r="J182" s="251"/>
      <c r="K182" s="264"/>
      <c r="L182" s="264"/>
      <c r="M182" s="264"/>
      <c r="N182" s="264"/>
      <c r="O182" s="264"/>
      <c r="P182" s="264"/>
      <c r="Q182" s="264"/>
      <c r="R182" s="264"/>
      <c r="S182" s="264"/>
      <c r="T182" s="264"/>
      <c r="U182" s="264"/>
      <c r="V182" s="264"/>
      <c r="W182" s="264"/>
      <c r="X182" s="264"/>
      <c r="Y182" s="264"/>
      <c r="Z182" s="264"/>
      <c r="AA182" s="264"/>
      <c r="AB182" s="264"/>
      <c r="AC182" s="264"/>
      <c r="AD182" s="264"/>
      <c r="AE182" s="264"/>
      <c r="AF182" s="264"/>
      <c r="AG182" s="264"/>
      <c r="AH182" s="264"/>
      <c r="AI182" s="264"/>
      <c r="AJ182" s="264"/>
      <c r="AK182" s="264"/>
      <c r="AL182" s="264"/>
      <c r="AM182" s="264"/>
      <c r="AN182" s="264"/>
      <c r="AO182" s="264"/>
      <c r="AP182" s="264"/>
      <c r="AQ182" s="264"/>
      <c r="AR182" s="264"/>
      <c r="AS182" s="264"/>
      <c r="AT182" s="264"/>
      <c r="AU182" s="264"/>
      <c r="AV182" s="264"/>
      <c r="AW182" s="264"/>
      <c r="AX182" s="264"/>
      <c r="AY182" s="264"/>
      <c r="AZ182" s="264"/>
      <c r="BA182" s="264"/>
      <c r="BB182" s="264"/>
      <c r="BC182" s="264"/>
      <c r="BD182" s="264"/>
      <c r="BE182" s="264"/>
      <c r="BF182" s="264"/>
      <c r="BG182" s="264"/>
    </row>
    <row r="183" spans="1:59" s="6" customFormat="1" x14ac:dyDescent="0.2">
      <c r="A183" s="47">
        <v>3421</v>
      </c>
      <c r="B183" s="48">
        <v>5139</v>
      </c>
      <c r="C183" s="46" t="s">
        <v>4</v>
      </c>
      <c r="D183" s="66">
        <v>10</v>
      </c>
      <c r="E183" s="66">
        <v>10</v>
      </c>
      <c r="F183" s="129">
        <v>3025</v>
      </c>
      <c r="G183" s="231">
        <v>10</v>
      </c>
      <c r="H183" s="237"/>
      <c r="I183" s="251"/>
      <c r="J183" s="251"/>
      <c r="K183" s="264"/>
      <c r="L183" s="264"/>
      <c r="M183" s="264"/>
      <c r="N183" s="264"/>
      <c r="O183" s="264"/>
      <c r="P183" s="264"/>
      <c r="Q183" s="264"/>
      <c r="R183" s="264"/>
      <c r="S183" s="264"/>
      <c r="T183" s="264"/>
      <c r="U183" s="264"/>
      <c r="V183" s="264"/>
      <c r="W183" s="264"/>
      <c r="X183" s="264"/>
      <c r="Y183" s="264"/>
      <c r="Z183" s="264"/>
      <c r="AA183" s="264"/>
      <c r="AB183" s="264"/>
      <c r="AC183" s="264"/>
      <c r="AD183" s="264"/>
      <c r="AE183" s="264"/>
      <c r="AF183" s="264"/>
      <c r="AG183" s="264"/>
      <c r="AH183" s="264"/>
      <c r="AI183" s="264"/>
      <c r="AJ183" s="264"/>
      <c r="AK183" s="264"/>
      <c r="AL183" s="264"/>
      <c r="AM183" s="264"/>
      <c r="AN183" s="264"/>
      <c r="AO183" s="264"/>
      <c r="AP183" s="264"/>
      <c r="AQ183" s="264"/>
      <c r="AR183" s="264"/>
      <c r="AS183" s="264"/>
      <c r="AT183" s="264"/>
      <c r="AU183" s="264"/>
      <c r="AV183" s="264"/>
      <c r="AW183" s="264"/>
      <c r="AX183" s="264"/>
      <c r="AY183" s="264"/>
      <c r="AZ183" s="264"/>
      <c r="BA183" s="264"/>
      <c r="BB183" s="264"/>
      <c r="BC183" s="264"/>
      <c r="BD183" s="264"/>
      <c r="BE183" s="264"/>
      <c r="BF183" s="264"/>
      <c r="BG183" s="264"/>
    </row>
    <row r="184" spans="1:59" s="6" customFormat="1" x14ac:dyDescent="0.2">
      <c r="A184" s="47">
        <v>3421</v>
      </c>
      <c r="B184" s="48">
        <v>5164</v>
      </c>
      <c r="C184" s="46" t="s">
        <v>303</v>
      </c>
      <c r="D184" s="66">
        <v>80</v>
      </c>
      <c r="E184" s="66">
        <v>80</v>
      </c>
      <c r="F184" s="129">
        <v>56860.32</v>
      </c>
      <c r="G184" s="231">
        <v>80</v>
      </c>
      <c r="H184" s="237"/>
      <c r="I184" s="251"/>
      <c r="J184" s="251"/>
      <c r="K184" s="264"/>
      <c r="L184" s="264"/>
      <c r="M184" s="264"/>
      <c r="N184" s="264"/>
      <c r="O184" s="264"/>
      <c r="P184" s="264"/>
      <c r="Q184" s="264"/>
      <c r="R184" s="264"/>
      <c r="S184" s="264"/>
      <c r="T184" s="264"/>
      <c r="U184" s="264"/>
      <c r="V184" s="264"/>
      <c r="W184" s="264"/>
      <c r="X184" s="264"/>
      <c r="Y184" s="264"/>
      <c r="Z184" s="264"/>
      <c r="AA184" s="264"/>
      <c r="AB184" s="264"/>
      <c r="AC184" s="264"/>
      <c r="AD184" s="264"/>
      <c r="AE184" s="264"/>
      <c r="AF184" s="264"/>
      <c r="AG184" s="264"/>
      <c r="AH184" s="264"/>
      <c r="AI184" s="264"/>
      <c r="AJ184" s="264"/>
      <c r="AK184" s="264"/>
      <c r="AL184" s="264"/>
      <c r="AM184" s="264"/>
      <c r="AN184" s="264"/>
      <c r="AO184" s="264"/>
      <c r="AP184" s="264"/>
      <c r="AQ184" s="264"/>
      <c r="AR184" s="264"/>
      <c r="AS184" s="264"/>
      <c r="AT184" s="264"/>
      <c r="AU184" s="264"/>
      <c r="AV184" s="264"/>
      <c r="AW184" s="264"/>
      <c r="AX184" s="264"/>
      <c r="AY184" s="264"/>
      <c r="AZ184" s="264"/>
      <c r="BA184" s="264"/>
      <c r="BB184" s="264"/>
      <c r="BC184" s="264"/>
      <c r="BD184" s="264"/>
      <c r="BE184" s="264"/>
      <c r="BF184" s="264"/>
      <c r="BG184" s="264"/>
    </row>
    <row r="185" spans="1:59" s="6" customFormat="1" x14ac:dyDescent="0.2">
      <c r="A185" s="47">
        <v>3421</v>
      </c>
      <c r="B185" s="48">
        <v>5169</v>
      </c>
      <c r="C185" s="46" t="s">
        <v>189</v>
      </c>
      <c r="D185" s="66">
        <v>65</v>
      </c>
      <c r="E185" s="66">
        <v>65</v>
      </c>
      <c r="F185" s="129">
        <v>53845</v>
      </c>
      <c r="G185" s="231">
        <v>65</v>
      </c>
      <c r="H185" s="237"/>
      <c r="I185" s="251"/>
      <c r="J185" s="251"/>
      <c r="K185" s="264"/>
      <c r="L185" s="264"/>
      <c r="M185" s="264"/>
      <c r="N185" s="264"/>
      <c r="O185" s="264"/>
      <c r="P185" s="264"/>
      <c r="Q185" s="264"/>
      <c r="R185" s="264"/>
      <c r="S185" s="264"/>
      <c r="T185" s="264"/>
      <c r="U185" s="264"/>
      <c r="V185" s="264"/>
      <c r="W185" s="264"/>
      <c r="X185" s="264"/>
      <c r="Y185" s="264"/>
      <c r="Z185" s="264"/>
      <c r="AA185" s="264"/>
      <c r="AB185" s="264"/>
      <c r="AC185" s="264"/>
      <c r="AD185" s="264"/>
      <c r="AE185" s="264"/>
      <c r="AF185" s="264"/>
      <c r="AG185" s="264"/>
      <c r="AH185" s="264"/>
      <c r="AI185" s="264"/>
      <c r="AJ185" s="264"/>
      <c r="AK185" s="264"/>
      <c r="AL185" s="264"/>
      <c r="AM185" s="264"/>
      <c r="AN185" s="264"/>
      <c r="AO185" s="264"/>
      <c r="AP185" s="264"/>
      <c r="AQ185" s="264"/>
      <c r="AR185" s="264"/>
      <c r="AS185" s="264"/>
      <c r="AT185" s="264"/>
      <c r="AU185" s="264"/>
      <c r="AV185" s="264"/>
      <c r="AW185" s="264"/>
      <c r="AX185" s="264"/>
      <c r="AY185" s="264"/>
      <c r="AZ185" s="264"/>
      <c r="BA185" s="264"/>
      <c r="BB185" s="264"/>
      <c r="BC185" s="264"/>
      <c r="BD185" s="264"/>
      <c r="BE185" s="264"/>
      <c r="BF185" s="264"/>
      <c r="BG185" s="264"/>
    </row>
    <row r="186" spans="1:59" s="6" customFormat="1" ht="30" x14ac:dyDescent="0.2">
      <c r="A186" s="47">
        <v>3421</v>
      </c>
      <c r="B186" s="48">
        <v>5171</v>
      </c>
      <c r="C186" s="46" t="s">
        <v>230</v>
      </c>
      <c r="D186" s="66">
        <v>250</v>
      </c>
      <c r="E186" s="66">
        <v>250</v>
      </c>
      <c r="F186" s="129">
        <v>263317.15000000002</v>
      </c>
      <c r="G186" s="231">
        <v>150</v>
      </c>
      <c r="H186" s="237"/>
      <c r="I186" s="251"/>
      <c r="J186" s="251"/>
      <c r="K186" s="264"/>
      <c r="L186" s="264"/>
      <c r="M186" s="264"/>
      <c r="N186" s="264"/>
      <c r="O186" s="264"/>
      <c r="P186" s="264"/>
      <c r="Q186" s="264"/>
      <c r="R186" s="264"/>
      <c r="S186" s="264"/>
      <c r="T186" s="264"/>
      <c r="U186" s="264"/>
      <c r="V186" s="264"/>
      <c r="W186" s="264"/>
      <c r="X186" s="264"/>
      <c r="Y186" s="264"/>
      <c r="Z186" s="264"/>
      <c r="AA186" s="264"/>
      <c r="AB186" s="264"/>
      <c r="AC186" s="264"/>
      <c r="AD186" s="264"/>
      <c r="AE186" s="264"/>
      <c r="AF186" s="264"/>
      <c r="AG186" s="264"/>
      <c r="AH186" s="264"/>
      <c r="AI186" s="264"/>
      <c r="AJ186" s="264"/>
      <c r="AK186" s="264"/>
      <c r="AL186" s="264"/>
      <c r="AM186" s="264"/>
      <c r="AN186" s="264"/>
      <c r="AO186" s="264"/>
      <c r="AP186" s="264"/>
      <c r="AQ186" s="264"/>
      <c r="AR186" s="264"/>
      <c r="AS186" s="264"/>
      <c r="AT186" s="264"/>
      <c r="AU186" s="264"/>
      <c r="AV186" s="264"/>
      <c r="AW186" s="264"/>
      <c r="AX186" s="264"/>
      <c r="AY186" s="264"/>
      <c r="AZ186" s="264"/>
      <c r="BA186" s="264"/>
      <c r="BB186" s="264"/>
      <c r="BC186" s="264"/>
      <c r="BD186" s="264"/>
      <c r="BE186" s="264"/>
      <c r="BF186" s="264"/>
      <c r="BG186" s="264"/>
    </row>
    <row r="187" spans="1:59" s="6" customFormat="1" x14ac:dyDescent="0.2">
      <c r="A187" s="47">
        <v>3421</v>
      </c>
      <c r="B187" s="48">
        <v>5229</v>
      </c>
      <c r="C187" s="46" t="s">
        <v>229</v>
      </c>
      <c r="D187" s="66">
        <v>20</v>
      </c>
      <c r="E187" s="66">
        <v>20</v>
      </c>
      <c r="F187" s="129">
        <v>20000</v>
      </c>
      <c r="G187" s="231">
        <v>20</v>
      </c>
      <c r="H187" s="237"/>
      <c r="I187" s="251"/>
      <c r="J187" s="251"/>
      <c r="K187" s="264"/>
      <c r="L187" s="264"/>
      <c r="M187" s="264"/>
      <c r="N187" s="264"/>
      <c r="O187" s="264"/>
      <c r="P187" s="264"/>
      <c r="Q187" s="264"/>
      <c r="R187" s="264"/>
      <c r="S187" s="264"/>
      <c r="T187" s="264"/>
      <c r="U187" s="264"/>
      <c r="V187" s="264"/>
      <c r="W187" s="264"/>
      <c r="X187" s="264"/>
      <c r="Y187" s="264"/>
      <c r="Z187" s="264"/>
      <c r="AA187" s="264"/>
      <c r="AB187" s="264"/>
      <c r="AC187" s="264"/>
      <c r="AD187" s="264"/>
      <c r="AE187" s="264"/>
      <c r="AF187" s="264"/>
      <c r="AG187" s="264"/>
      <c r="AH187" s="264"/>
      <c r="AI187" s="264"/>
      <c r="AJ187" s="264"/>
      <c r="AK187" s="264"/>
      <c r="AL187" s="264"/>
      <c r="AM187" s="264"/>
      <c r="AN187" s="264"/>
      <c r="AO187" s="264"/>
      <c r="AP187" s="264"/>
      <c r="AQ187" s="264"/>
      <c r="AR187" s="264"/>
      <c r="AS187" s="264"/>
      <c r="AT187" s="264"/>
      <c r="AU187" s="264"/>
      <c r="AV187" s="264"/>
      <c r="AW187" s="264"/>
      <c r="AX187" s="264"/>
      <c r="AY187" s="264"/>
      <c r="AZ187" s="264"/>
      <c r="BA187" s="264"/>
      <c r="BB187" s="264"/>
      <c r="BC187" s="264"/>
      <c r="BD187" s="264"/>
      <c r="BE187" s="264"/>
      <c r="BF187" s="264"/>
      <c r="BG187" s="264"/>
    </row>
    <row r="188" spans="1:59" s="6" customFormat="1" x14ac:dyDescent="0.2">
      <c r="A188" s="47">
        <v>3421</v>
      </c>
      <c r="B188" s="48">
        <v>6121</v>
      </c>
      <c r="C188" s="88" t="s">
        <v>252</v>
      </c>
      <c r="D188" s="103">
        <v>3000</v>
      </c>
      <c r="E188" s="103">
        <v>3000</v>
      </c>
      <c r="F188" s="134">
        <f>16000+50000+12500+8000+3000</f>
        <v>89500</v>
      </c>
      <c r="G188" s="230">
        <v>3000</v>
      </c>
      <c r="H188" s="237"/>
      <c r="I188" s="251"/>
      <c r="J188" s="251"/>
      <c r="K188" s="264"/>
      <c r="L188" s="264"/>
      <c r="M188" s="264"/>
      <c r="N188" s="264"/>
      <c r="O188" s="264"/>
      <c r="P188" s="264"/>
      <c r="Q188" s="264"/>
      <c r="R188" s="264"/>
      <c r="S188" s="264"/>
      <c r="T188" s="264"/>
      <c r="U188" s="264"/>
      <c r="V188" s="264"/>
      <c r="W188" s="264"/>
      <c r="X188" s="264"/>
      <c r="Y188" s="264"/>
      <c r="Z188" s="264"/>
      <c r="AA188" s="264"/>
      <c r="AB188" s="264"/>
      <c r="AC188" s="264"/>
      <c r="AD188" s="264"/>
      <c r="AE188" s="264"/>
      <c r="AF188" s="264"/>
      <c r="AG188" s="264"/>
      <c r="AH188" s="264"/>
      <c r="AI188" s="264"/>
      <c r="AJ188" s="264"/>
      <c r="AK188" s="264"/>
      <c r="AL188" s="264"/>
      <c r="AM188" s="264"/>
      <c r="AN188" s="264"/>
      <c r="AO188" s="264"/>
      <c r="AP188" s="264"/>
      <c r="AQ188" s="264"/>
      <c r="AR188" s="264"/>
      <c r="AS188" s="264"/>
      <c r="AT188" s="264"/>
      <c r="AU188" s="264"/>
      <c r="AV188" s="264"/>
      <c r="AW188" s="264"/>
      <c r="AX188" s="264"/>
      <c r="AY188" s="264"/>
      <c r="AZ188" s="264"/>
      <c r="BA188" s="264"/>
      <c r="BB188" s="264"/>
      <c r="BC188" s="264"/>
      <c r="BD188" s="264"/>
      <c r="BE188" s="264"/>
      <c r="BF188" s="264"/>
      <c r="BG188" s="264"/>
    </row>
    <row r="189" spans="1:59" s="6" customFormat="1" ht="60" x14ac:dyDescent="0.2">
      <c r="A189" s="47">
        <v>3421</v>
      </c>
      <c r="B189" s="48">
        <v>6121</v>
      </c>
      <c r="C189" s="88" t="s">
        <v>339</v>
      </c>
      <c r="D189" s="103">
        <v>670</v>
      </c>
      <c r="E189" s="103">
        <f>670+125</f>
        <v>795</v>
      </c>
      <c r="F189" s="134">
        <f>30000+60000+14852.75+79245.32+2456.3+32554.37+3445.63+7139+3388</f>
        <v>233081.37</v>
      </c>
      <c r="G189" s="230">
        <f>2500+400</f>
        <v>2900</v>
      </c>
      <c r="H189" s="237"/>
      <c r="I189" s="258"/>
      <c r="J189" s="251"/>
      <c r="K189" s="264"/>
      <c r="L189" s="264"/>
      <c r="M189" s="264"/>
      <c r="N189" s="264"/>
      <c r="O189" s="264"/>
      <c r="P189" s="264"/>
      <c r="Q189" s="264"/>
      <c r="R189" s="264"/>
      <c r="S189" s="264"/>
      <c r="T189" s="264"/>
      <c r="U189" s="264"/>
      <c r="V189" s="264"/>
      <c r="W189" s="264"/>
      <c r="X189" s="264"/>
      <c r="Y189" s="264"/>
      <c r="Z189" s="264"/>
      <c r="AA189" s="264"/>
      <c r="AB189" s="264"/>
      <c r="AC189" s="264"/>
      <c r="AD189" s="264"/>
      <c r="AE189" s="264"/>
      <c r="AF189" s="264"/>
      <c r="AG189" s="264"/>
      <c r="AH189" s="264"/>
      <c r="AI189" s="264"/>
      <c r="AJ189" s="264"/>
      <c r="AK189" s="264"/>
      <c r="AL189" s="264"/>
      <c r="AM189" s="264"/>
      <c r="AN189" s="264"/>
      <c r="AO189" s="264"/>
      <c r="AP189" s="264"/>
      <c r="AQ189" s="264"/>
      <c r="AR189" s="264"/>
      <c r="AS189" s="264"/>
      <c r="AT189" s="264"/>
      <c r="AU189" s="264"/>
      <c r="AV189" s="264"/>
      <c r="AW189" s="264"/>
      <c r="AX189" s="264"/>
      <c r="AY189" s="264"/>
      <c r="AZ189" s="264"/>
      <c r="BA189" s="264"/>
      <c r="BB189" s="264"/>
      <c r="BC189" s="264"/>
      <c r="BD189" s="264"/>
      <c r="BE189" s="264"/>
      <c r="BF189" s="264"/>
      <c r="BG189" s="264"/>
    </row>
    <row r="190" spans="1:59" s="4" customFormat="1" ht="15.75" x14ac:dyDescent="0.25">
      <c r="A190" s="27">
        <v>3421</v>
      </c>
      <c r="B190" s="28"/>
      <c r="C190" s="59" t="s">
        <v>53</v>
      </c>
      <c r="D190" s="67">
        <f>SUM(D182:D189)</f>
        <v>4145</v>
      </c>
      <c r="E190" s="67">
        <f>SUM(E182:E189)</f>
        <v>4270</v>
      </c>
      <c r="F190" s="133">
        <f>SUM(F182:F189)</f>
        <v>756679.04</v>
      </c>
      <c r="G190" s="233">
        <f>SUM(G182:G189)</f>
        <v>6275</v>
      </c>
      <c r="H190" s="239">
        <f>G190</f>
        <v>6275</v>
      </c>
      <c r="I190" s="258"/>
      <c r="J190" s="251"/>
      <c r="K190" s="266"/>
      <c r="L190" s="266"/>
      <c r="M190" s="266"/>
      <c r="N190" s="266"/>
      <c r="O190" s="266"/>
      <c r="P190" s="266"/>
      <c r="Q190" s="266"/>
      <c r="R190" s="266"/>
      <c r="S190" s="266"/>
      <c r="T190" s="266"/>
      <c r="U190" s="266"/>
      <c r="V190" s="266"/>
      <c r="W190" s="266"/>
      <c r="X190" s="266"/>
      <c r="Y190" s="266"/>
      <c r="Z190" s="266"/>
      <c r="AA190" s="266"/>
      <c r="AB190" s="266"/>
      <c r="AC190" s="266"/>
      <c r="AD190" s="266"/>
      <c r="AE190" s="266"/>
      <c r="AF190" s="266"/>
      <c r="AG190" s="266"/>
      <c r="AH190" s="266"/>
      <c r="AI190" s="266"/>
      <c r="AJ190" s="266"/>
      <c r="AK190" s="266"/>
      <c r="AL190" s="266"/>
      <c r="AM190" s="266"/>
      <c r="AN190" s="266"/>
      <c r="AO190" s="266"/>
      <c r="AP190" s="266"/>
      <c r="AQ190" s="266"/>
      <c r="AR190" s="266"/>
      <c r="AS190" s="266"/>
      <c r="AT190" s="266"/>
      <c r="AU190" s="266"/>
      <c r="AV190" s="266"/>
      <c r="AW190" s="266"/>
      <c r="AX190" s="266"/>
      <c r="AY190" s="266"/>
      <c r="AZ190" s="266"/>
      <c r="BA190" s="266"/>
      <c r="BB190" s="266"/>
      <c r="BC190" s="266"/>
      <c r="BD190" s="266"/>
      <c r="BE190" s="266"/>
      <c r="BF190" s="266"/>
      <c r="BG190" s="266"/>
    </row>
    <row r="191" spans="1:59" s="6" customFormat="1" x14ac:dyDescent="0.2">
      <c r="A191" s="8"/>
      <c r="B191" s="10"/>
      <c r="C191" s="58"/>
      <c r="D191" s="66"/>
      <c r="E191" s="66"/>
      <c r="F191" s="129"/>
      <c r="G191" s="231"/>
      <c r="H191" s="237"/>
      <c r="I191" s="251"/>
      <c r="J191" s="251"/>
      <c r="K191" s="264"/>
      <c r="L191" s="264"/>
      <c r="M191" s="264"/>
      <c r="N191" s="264"/>
      <c r="O191" s="264"/>
      <c r="P191" s="264"/>
      <c r="Q191" s="264"/>
      <c r="R191" s="264"/>
      <c r="S191" s="264"/>
      <c r="T191" s="264"/>
      <c r="U191" s="264"/>
      <c r="V191" s="264"/>
      <c r="W191" s="264"/>
      <c r="X191" s="264"/>
      <c r="Y191" s="264"/>
      <c r="Z191" s="264"/>
      <c r="AA191" s="264"/>
      <c r="AB191" s="264"/>
      <c r="AC191" s="264"/>
      <c r="AD191" s="264"/>
      <c r="AE191" s="264"/>
      <c r="AF191" s="264"/>
      <c r="AG191" s="264"/>
      <c r="AH191" s="264"/>
      <c r="AI191" s="264"/>
      <c r="AJ191" s="264"/>
      <c r="AK191" s="264"/>
      <c r="AL191" s="264"/>
      <c r="AM191" s="264"/>
      <c r="AN191" s="264"/>
      <c r="AO191" s="264"/>
      <c r="AP191" s="264"/>
      <c r="AQ191" s="264"/>
      <c r="AR191" s="264"/>
      <c r="AS191" s="264"/>
      <c r="AT191" s="264"/>
      <c r="AU191" s="264"/>
      <c r="AV191" s="264"/>
      <c r="AW191" s="264"/>
      <c r="AX191" s="264"/>
      <c r="AY191" s="264"/>
      <c r="AZ191" s="264"/>
      <c r="BA191" s="264"/>
      <c r="BB191" s="264"/>
      <c r="BC191" s="264"/>
      <c r="BD191" s="264"/>
      <c r="BE191" s="264"/>
      <c r="BF191" s="264"/>
      <c r="BG191" s="264"/>
    </row>
    <row r="192" spans="1:59" s="6" customFormat="1" ht="45" x14ac:dyDescent="0.2">
      <c r="A192" s="47">
        <v>3599</v>
      </c>
      <c r="B192" s="48">
        <v>5221</v>
      </c>
      <c r="C192" s="46" t="s">
        <v>389</v>
      </c>
      <c r="D192" s="66">
        <v>15</v>
      </c>
      <c r="E192" s="66">
        <f>15+20+10-15</f>
        <v>30</v>
      </c>
      <c r="F192" s="129">
        <v>30000</v>
      </c>
      <c r="G192" s="231">
        <v>0</v>
      </c>
      <c r="H192" s="237"/>
      <c r="I192" s="258"/>
      <c r="J192" s="251"/>
      <c r="K192" s="264"/>
      <c r="L192" s="264"/>
      <c r="M192" s="264"/>
      <c r="N192" s="264"/>
      <c r="O192" s="264"/>
      <c r="P192" s="264"/>
      <c r="Q192" s="264"/>
      <c r="R192" s="264"/>
      <c r="S192" s="264"/>
      <c r="T192" s="264"/>
      <c r="U192" s="264"/>
      <c r="V192" s="264"/>
      <c r="W192" s="264"/>
      <c r="X192" s="264"/>
      <c r="Y192" s="264"/>
      <c r="Z192" s="264"/>
      <c r="AA192" s="264"/>
      <c r="AB192" s="264"/>
      <c r="AC192" s="264"/>
      <c r="AD192" s="264"/>
      <c r="AE192" s="264"/>
      <c r="AF192" s="264"/>
      <c r="AG192" s="264"/>
      <c r="AH192" s="264"/>
      <c r="AI192" s="264"/>
      <c r="AJ192" s="264"/>
      <c r="AK192" s="264"/>
      <c r="AL192" s="264"/>
      <c r="AM192" s="264"/>
      <c r="AN192" s="264"/>
      <c r="AO192" s="264"/>
      <c r="AP192" s="264"/>
      <c r="AQ192" s="264"/>
      <c r="AR192" s="264"/>
      <c r="AS192" s="264"/>
      <c r="AT192" s="264"/>
      <c r="AU192" s="264"/>
      <c r="AV192" s="264"/>
      <c r="AW192" s="264"/>
      <c r="AX192" s="264"/>
      <c r="AY192" s="264"/>
      <c r="AZ192" s="264"/>
      <c r="BA192" s="264"/>
      <c r="BB192" s="264"/>
      <c r="BC192" s="264"/>
      <c r="BD192" s="264"/>
      <c r="BE192" s="264"/>
      <c r="BF192" s="264"/>
      <c r="BG192" s="264"/>
    </row>
    <row r="193" spans="1:59" s="6" customFormat="1" x14ac:dyDescent="0.2">
      <c r="A193" s="47">
        <v>3599</v>
      </c>
      <c r="B193" s="48">
        <v>5339</v>
      </c>
      <c r="C193" s="46" t="s">
        <v>104</v>
      </c>
      <c r="D193" s="66">
        <v>5</v>
      </c>
      <c r="E193" s="66">
        <v>5</v>
      </c>
      <c r="F193" s="129">
        <v>0</v>
      </c>
      <c r="G193" s="231">
        <v>5</v>
      </c>
      <c r="H193" s="237"/>
      <c r="I193" s="251"/>
      <c r="J193" s="251"/>
      <c r="K193" s="264"/>
      <c r="L193" s="264"/>
      <c r="M193" s="264"/>
      <c r="N193" s="264"/>
      <c r="O193" s="264"/>
      <c r="P193" s="264"/>
      <c r="Q193" s="264"/>
      <c r="R193" s="264"/>
      <c r="S193" s="264"/>
      <c r="T193" s="264"/>
      <c r="U193" s="264"/>
      <c r="V193" s="264"/>
      <c r="W193" s="264"/>
      <c r="X193" s="264"/>
      <c r="Y193" s="264"/>
      <c r="Z193" s="264"/>
      <c r="AA193" s="264"/>
      <c r="AB193" s="264"/>
      <c r="AC193" s="264"/>
      <c r="AD193" s="264"/>
      <c r="AE193" s="264"/>
      <c r="AF193" s="264"/>
      <c r="AG193" s="264"/>
      <c r="AH193" s="264"/>
      <c r="AI193" s="264"/>
      <c r="AJ193" s="264"/>
      <c r="AK193" s="264"/>
      <c r="AL193" s="264"/>
      <c r="AM193" s="264"/>
      <c r="AN193" s="264"/>
      <c r="AO193" s="264"/>
      <c r="AP193" s="264"/>
      <c r="AQ193" s="264"/>
      <c r="AR193" s="264"/>
      <c r="AS193" s="264"/>
      <c r="AT193" s="264"/>
      <c r="AU193" s="264"/>
      <c r="AV193" s="264"/>
      <c r="AW193" s="264"/>
      <c r="AX193" s="264"/>
      <c r="AY193" s="264"/>
      <c r="AZ193" s="264"/>
      <c r="BA193" s="264"/>
      <c r="BB193" s="264"/>
      <c r="BC193" s="264"/>
      <c r="BD193" s="264"/>
      <c r="BE193" s="264"/>
      <c r="BF193" s="264"/>
      <c r="BG193" s="264"/>
    </row>
    <row r="194" spans="1:59" s="6" customFormat="1" x14ac:dyDescent="0.2">
      <c r="A194" s="47">
        <v>3599</v>
      </c>
      <c r="B194" s="48">
        <v>5901</v>
      </c>
      <c r="C194" s="46" t="s">
        <v>220</v>
      </c>
      <c r="D194" s="66">
        <v>25</v>
      </c>
      <c r="E194" s="66">
        <v>25</v>
      </c>
      <c r="F194" s="129">
        <v>0</v>
      </c>
      <c r="G194" s="231">
        <v>25</v>
      </c>
      <c r="H194" s="237"/>
      <c r="I194" s="251"/>
      <c r="J194" s="251"/>
      <c r="K194" s="264"/>
      <c r="L194" s="264"/>
      <c r="M194" s="264"/>
      <c r="N194" s="264"/>
      <c r="O194" s="264"/>
      <c r="P194" s="264"/>
      <c r="Q194" s="264"/>
      <c r="R194" s="264"/>
      <c r="S194" s="264"/>
      <c r="T194" s="264"/>
      <c r="U194" s="264"/>
      <c r="V194" s="264"/>
      <c r="W194" s="264"/>
      <c r="X194" s="264"/>
      <c r="Y194" s="264"/>
      <c r="Z194" s="264"/>
      <c r="AA194" s="264"/>
      <c r="AB194" s="264"/>
      <c r="AC194" s="264"/>
      <c r="AD194" s="264"/>
      <c r="AE194" s="264"/>
      <c r="AF194" s="264"/>
      <c r="AG194" s="264"/>
      <c r="AH194" s="264"/>
      <c r="AI194" s="264"/>
      <c r="AJ194" s="264"/>
      <c r="AK194" s="264"/>
      <c r="AL194" s="264"/>
      <c r="AM194" s="264"/>
      <c r="AN194" s="264"/>
      <c r="AO194" s="264"/>
      <c r="AP194" s="264"/>
      <c r="AQ194" s="264"/>
      <c r="AR194" s="264"/>
      <c r="AS194" s="264"/>
      <c r="AT194" s="264"/>
      <c r="AU194" s="264"/>
      <c r="AV194" s="264"/>
      <c r="AW194" s="264"/>
      <c r="AX194" s="264"/>
      <c r="AY194" s="264"/>
      <c r="AZ194" s="264"/>
      <c r="BA194" s="264"/>
      <c r="BB194" s="264"/>
      <c r="BC194" s="264"/>
      <c r="BD194" s="264"/>
      <c r="BE194" s="264"/>
      <c r="BF194" s="264"/>
      <c r="BG194" s="264"/>
    </row>
    <row r="195" spans="1:59" s="6" customFormat="1" ht="15.75" x14ac:dyDescent="0.25">
      <c r="A195" s="27">
        <v>3599</v>
      </c>
      <c r="B195" s="28"/>
      <c r="C195" s="59" t="s">
        <v>128</v>
      </c>
      <c r="D195" s="67">
        <f>SUM(D192:D194)</f>
        <v>45</v>
      </c>
      <c r="E195" s="67">
        <f>SUM(E192:E194)</f>
        <v>60</v>
      </c>
      <c r="F195" s="133">
        <f>SUM(F192:F194)</f>
        <v>30000</v>
      </c>
      <c r="G195" s="233">
        <f>SUM(G192:G194)</f>
        <v>30</v>
      </c>
      <c r="H195" s="239">
        <f>G195</f>
        <v>30</v>
      </c>
      <c r="I195" s="251"/>
      <c r="J195" s="251"/>
      <c r="K195" s="264"/>
      <c r="L195" s="264"/>
      <c r="M195" s="264"/>
      <c r="N195" s="264"/>
      <c r="O195" s="264"/>
      <c r="P195" s="264"/>
      <c r="Q195" s="264"/>
      <c r="R195" s="264"/>
      <c r="S195" s="264"/>
      <c r="T195" s="264"/>
      <c r="U195" s="264"/>
      <c r="V195" s="264"/>
      <c r="W195" s="264"/>
      <c r="X195" s="264"/>
      <c r="Y195" s="264"/>
      <c r="Z195" s="264"/>
      <c r="AA195" s="264"/>
      <c r="AB195" s="264"/>
      <c r="AC195" s="264"/>
      <c r="AD195" s="264"/>
      <c r="AE195" s="264"/>
      <c r="AF195" s="264"/>
      <c r="AG195" s="264"/>
      <c r="AH195" s="264"/>
      <c r="AI195" s="264"/>
      <c r="AJ195" s="264"/>
      <c r="AK195" s="264"/>
      <c r="AL195" s="264"/>
      <c r="AM195" s="264"/>
      <c r="AN195" s="264"/>
      <c r="AO195" s="264"/>
      <c r="AP195" s="264"/>
      <c r="AQ195" s="264"/>
      <c r="AR195" s="264"/>
      <c r="AS195" s="264"/>
      <c r="AT195" s="264"/>
      <c r="AU195" s="264"/>
      <c r="AV195" s="264"/>
      <c r="AW195" s="264"/>
      <c r="AX195" s="264"/>
      <c r="AY195" s="264"/>
      <c r="AZ195" s="264"/>
      <c r="BA195" s="264"/>
      <c r="BB195" s="264"/>
      <c r="BC195" s="264"/>
      <c r="BD195" s="264"/>
      <c r="BE195" s="264"/>
      <c r="BF195" s="264"/>
      <c r="BG195" s="264"/>
    </row>
    <row r="196" spans="1:59" s="6" customFormat="1" x14ac:dyDescent="0.2">
      <c r="A196" s="8"/>
      <c r="B196" s="10"/>
      <c r="C196" s="58"/>
      <c r="D196" s="66"/>
      <c r="E196" s="66"/>
      <c r="F196" s="129"/>
      <c r="G196" s="231"/>
      <c r="H196" s="237"/>
      <c r="I196" s="251"/>
      <c r="J196" s="251"/>
      <c r="K196" s="264"/>
      <c r="L196" s="264"/>
      <c r="M196" s="264"/>
      <c r="N196" s="264"/>
      <c r="O196" s="264"/>
      <c r="P196" s="264"/>
      <c r="Q196" s="264"/>
      <c r="R196" s="264"/>
      <c r="S196" s="264"/>
      <c r="T196" s="264"/>
      <c r="U196" s="264"/>
      <c r="V196" s="264"/>
      <c r="W196" s="264"/>
      <c r="X196" s="264"/>
      <c r="Y196" s="264"/>
      <c r="Z196" s="264"/>
      <c r="AA196" s="264"/>
      <c r="AB196" s="264"/>
      <c r="AC196" s="264"/>
      <c r="AD196" s="264"/>
      <c r="AE196" s="264"/>
      <c r="AF196" s="264"/>
      <c r="AG196" s="264"/>
      <c r="AH196" s="264"/>
      <c r="AI196" s="264"/>
      <c r="AJ196" s="264"/>
      <c r="AK196" s="264"/>
      <c r="AL196" s="264"/>
      <c r="AM196" s="264"/>
      <c r="AN196" s="264"/>
      <c r="AO196" s="264"/>
      <c r="AP196" s="264"/>
      <c r="AQ196" s="264"/>
      <c r="AR196" s="264"/>
      <c r="AS196" s="264"/>
      <c r="AT196" s="264"/>
      <c r="AU196" s="264"/>
      <c r="AV196" s="264"/>
      <c r="AW196" s="264"/>
      <c r="AX196" s="264"/>
      <c r="AY196" s="264"/>
      <c r="AZ196" s="264"/>
      <c r="BA196" s="264"/>
      <c r="BB196" s="264"/>
      <c r="BC196" s="264"/>
      <c r="BD196" s="264"/>
      <c r="BE196" s="264"/>
      <c r="BF196" s="264"/>
      <c r="BG196" s="264"/>
    </row>
    <row r="197" spans="1:59" s="6" customFormat="1" x14ac:dyDescent="0.2">
      <c r="A197" s="8">
        <v>3631</v>
      </c>
      <c r="B197" s="10">
        <v>5154</v>
      </c>
      <c r="C197" s="58" t="s">
        <v>116</v>
      </c>
      <c r="D197" s="66">
        <v>19</v>
      </c>
      <c r="E197" s="66">
        <v>19</v>
      </c>
      <c r="F197" s="129">
        <v>14992.21</v>
      </c>
      <c r="G197" s="231">
        <v>19</v>
      </c>
      <c r="H197" s="237"/>
      <c r="I197" s="251"/>
      <c r="J197" s="251"/>
      <c r="K197" s="264"/>
      <c r="L197" s="264"/>
      <c r="M197" s="264"/>
      <c r="N197" s="264"/>
      <c r="O197" s="264"/>
      <c r="P197" s="264"/>
      <c r="Q197" s="264"/>
      <c r="R197" s="264"/>
      <c r="S197" s="264"/>
      <c r="T197" s="264"/>
      <c r="U197" s="264"/>
      <c r="V197" s="264"/>
      <c r="W197" s="264"/>
      <c r="X197" s="264"/>
      <c r="Y197" s="264"/>
      <c r="Z197" s="264"/>
      <c r="AA197" s="264"/>
      <c r="AB197" s="264"/>
      <c r="AC197" s="264"/>
      <c r="AD197" s="264"/>
      <c r="AE197" s="264"/>
      <c r="AF197" s="264"/>
      <c r="AG197" s="264"/>
      <c r="AH197" s="264"/>
      <c r="AI197" s="264"/>
      <c r="AJ197" s="264"/>
      <c r="AK197" s="264"/>
      <c r="AL197" s="264"/>
      <c r="AM197" s="264"/>
      <c r="AN197" s="264"/>
      <c r="AO197" s="264"/>
      <c r="AP197" s="264"/>
      <c r="AQ197" s="264"/>
      <c r="AR197" s="264"/>
      <c r="AS197" s="264"/>
      <c r="AT197" s="264"/>
      <c r="AU197" s="264"/>
      <c r="AV197" s="264"/>
      <c r="AW197" s="264"/>
      <c r="AX197" s="264"/>
      <c r="AY197" s="264"/>
      <c r="AZ197" s="264"/>
      <c r="BA197" s="264"/>
      <c r="BB197" s="264"/>
      <c r="BC197" s="264"/>
      <c r="BD197" s="264"/>
      <c r="BE197" s="264"/>
      <c r="BF197" s="264"/>
      <c r="BG197" s="264"/>
    </row>
    <row r="198" spans="1:59" s="4" customFormat="1" ht="15.75" x14ac:dyDescent="0.25">
      <c r="A198" s="27">
        <v>3631</v>
      </c>
      <c r="B198" s="28"/>
      <c r="C198" s="59" t="s">
        <v>40</v>
      </c>
      <c r="D198" s="67">
        <f>SUM(D197)</f>
        <v>19</v>
      </c>
      <c r="E198" s="67">
        <f>SUM(E197)</f>
        <v>19</v>
      </c>
      <c r="F198" s="133">
        <f>SUM(F197:F197)</f>
        <v>14992.21</v>
      </c>
      <c r="G198" s="233">
        <f>SUM(G197)</f>
        <v>19</v>
      </c>
      <c r="H198" s="239">
        <f>G198</f>
        <v>19</v>
      </c>
      <c r="I198" s="251"/>
      <c r="J198" s="251"/>
      <c r="K198" s="266"/>
      <c r="L198" s="266"/>
      <c r="M198" s="266"/>
      <c r="N198" s="266"/>
      <c r="O198" s="266"/>
      <c r="P198" s="266"/>
      <c r="Q198" s="266"/>
      <c r="R198" s="266"/>
      <c r="S198" s="266"/>
      <c r="T198" s="266"/>
      <c r="U198" s="266"/>
      <c r="V198" s="266"/>
      <c r="W198" s="266"/>
      <c r="X198" s="266"/>
      <c r="Y198" s="266"/>
      <c r="Z198" s="266"/>
      <c r="AA198" s="266"/>
      <c r="AB198" s="266"/>
      <c r="AC198" s="266"/>
      <c r="AD198" s="266"/>
      <c r="AE198" s="266"/>
      <c r="AF198" s="266"/>
      <c r="AG198" s="266"/>
      <c r="AH198" s="266"/>
      <c r="AI198" s="266"/>
      <c r="AJ198" s="266"/>
      <c r="AK198" s="266"/>
      <c r="AL198" s="266"/>
      <c r="AM198" s="266"/>
      <c r="AN198" s="266"/>
      <c r="AO198" s="266"/>
      <c r="AP198" s="266"/>
      <c r="AQ198" s="266"/>
      <c r="AR198" s="266"/>
      <c r="AS198" s="266"/>
      <c r="AT198" s="266"/>
      <c r="AU198" s="266"/>
      <c r="AV198" s="266"/>
      <c r="AW198" s="266"/>
      <c r="AX198" s="266"/>
      <c r="AY198" s="266"/>
      <c r="AZ198" s="266"/>
      <c r="BA198" s="266"/>
      <c r="BB198" s="266"/>
      <c r="BC198" s="266"/>
      <c r="BD198" s="266"/>
      <c r="BE198" s="266"/>
      <c r="BF198" s="266"/>
      <c r="BG198" s="266"/>
    </row>
    <row r="199" spans="1:59" x14ac:dyDescent="0.2">
      <c r="A199" s="8"/>
      <c r="B199" s="10"/>
      <c r="C199" s="58"/>
      <c r="D199" s="66"/>
      <c r="E199" s="66"/>
      <c r="F199" s="129"/>
      <c r="G199" s="231"/>
      <c r="H199" s="237"/>
    </row>
    <row r="200" spans="1:59" x14ac:dyDescent="0.2">
      <c r="A200" s="8">
        <v>3632</v>
      </c>
      <c r="B200" s="45">
        <v>5011</v>
      </c>
      <c r="C200" s="54" t="s">
        <v>14</v>
      </c>
      <c r="D200" s="66">
        <v>220</v>
      </c>
      <c r="E200" s="66">
        <v>220</v>
      </c>
      <c r="F200" s="129">
        <v>164334</v>
      </c>
      <c r="G200" s="231">
        <f>220*1.05</f>
        <v>231</v>
      </c>
      <c r="H200" s="237"/>
    </row>
    <row r="201" spans="1:59" x14ac:dyDescent="0.2">
      <c r="A201" s="47">
        <v>3632</v>
      </c>
      <c r="B201" s="48">
        <v>5021</v>
      </c>
      <c r="C201" s="90" t="s">
        <v>17</v>
      </c>
      <c r="D201" s="66">
        <v>6</v>
      </c>
      <c r="E201" s="66">
        <v>6</v>
      </c>
      <c r="F201" s="129">
        <v>0</v>
      </c>
      <c r="G201" s="231">
        <v>6</v>
      </c>
      <c r="H201" s="237"/>
    </row>
    <row r="202" spans="1:59" x14ac:dyDescent="0.2">
      <c r="A202" s="47">
        <v>3632</v>
      </c>
      <c r="B202" s="48">
        <v>5031</v>
      </c>
      <c r="C202" s="46" t="s">
        <v>129</v>
      </c>
      <c r="D202" s="66">
        <v>55</v>
      </c>
      <c r="E202" s="66">
        <v>55</v>
      </c>
      <c r="F202" s="129">
        <v>31850</v>
      </c>
      <c r="G202" s="231">
        <v>42</v>
      </c>
      <c r="H202" s="237"/>
    </row>
    <row r="203" spans="1:59" x14ac:dyDescent="0.2">
      <c r="A203" s="47">
        <v>3632</v>
      </c>
      <c r="B203" s="48">
        <v>5032</v>
      </c>
      <c r="C203" s="46" t="s">
        <v>33</v>
      </c>
      <c r="D203" s="66">
        <v>20</v>
      </c>
      <c r="E203" s="66">
        <v>20</v>
      </c>
      <c r="F203" s="129">
        <v>14473</v>
      </c>
      <c r="G203" s="231">
        <v>21</v>
      </c>
      <c r="H203" s="237"/>
    </row>
    <row r="204" spans="1:59" x14ac:dyDescent="0.2">
      <c r="A204" s="47">
        <v>3632</v>
      </c>
      <c r="B204" s="48">
        <v>5132</v>
      </c>
      <c r="C204" s="46" t="s">
        <v>346</v>
      </c>
      <c r="D204" s="66">
        <v>0</v>
      </c>
      <c r="E204" s="66">
        <v>0</v>
      </c>
      <c r="F204" s="129">
        <v>310</v>
      </c>
      <c r="G204" s="231">
        <v>1</v>
      </c>
      <c r="H204" s="237"/>
    </row>
    <row r="205" spans="1:59" x14ac:dyDescent="0.2">
      <c r="A205" s="47">
        <v>3632</v>
      </c>
      <c r="B205" s="48">
        <v>5134</v>
      </c>
      <c r="C205" s="46" t="s">
        <v>347</v>
      </c>
      <c r="D205" s="66">
        <v>0</v>
      </c>
      <c r="E205" s="66">
        <v>0</v>
      </c>
      <c r="F205" s="129">
        <v>4139</v>
      </c>
      <c r="G205" s="231">
        <v>5</v>
      </c>
      <c r="H205" s="237"/>
    </row>
    <row r="206" spans="1:59" x14ac:dyDescent="0.2">
      <c r="A206" s="47">
        <v>3632</v>
      </c>
      <c r="B206" s="48">
        <v>5137</v>
      </c>
      <c r="C206" s="46" t="s">
        <v>329</v>
      </c>
      <c r="D206" s="66">
        <v>8</v>
      </c>
      <c r="E206" s="66">
        <v>8</v>
      </c>
      <c r="F206" s="129">
        <v>0</v>
      </c>
      <c r="G206" s="231">
        <v>8</v>
      </c>
      <c r="H206" s="237"/>
    </row>
    <row r="207" spans="1:59" x14ac:dyDescent="0.2">
      <c r="A207" s="47">
        <v>3632</v>
      </c>
      <c r="B207" s="48">
        <v>5139</v>
      </c>
      <c r="C207" s="46" t="s">
        <v>253</v>
      </c>
      <c r="D207" s="66">
        <v>28</v>
      </c>
      <c r="E207" s="66">
        <v>28</v>
      </c>
      <c r="F207" s="129">
        <v>2774</v>
      </c>
      <c r="G207" s="231">
        <v>10</v>
      </c>
      <c r="H207" s="237"/>
    </row>
    <row r="208" spans="1:59" x14ac:dyDescent="0.2">
      <c r="A208" s="47">
        <v>3632</v>
      </c>
      <c r="B208" s="48">
        <v>5151</v>
      </c>
      <c r="C208" s="46" t="s">
        <v>10</v>
      </c>
      <c r="D208" s="66">
        <v>10</v>
      </c>
      <c r="E208" s="66">
        <v>10</v>
      </c>
      <c r="F208" s="129">
        <v>6882</v>
      </c>
      <c r="G208" s="231">
        <v>11</v>
      </c>
      <c r="H208" s="237"/>
    </row>
    <row r="209" spans="1:59" x14ac:dyDescent="0.2">
      <c r="A209" s="47">
        <v>3632</v>
      </c>
      <c r="B209" s="48">
        <v>5154</v>
      </c>
      <c r="C209" s="46" t="s">
        <v>12</v>
      </c>
      <c r="D209" s="66">
        <v>8</v>
      </c>
      <c r="E209" s="66">
        <v>8</v>
      </c>
      <c r="F209" s="129">
        <v>6776</v>
      </c>
      <c r="G209" s="231">
        <v>9</v>
      </c>
      <c r="H209" s="237"/>
    </row>
    <row r="210" spans="1:59" x14ac:dyDescent="0.2">
      <c r="A210" s="47">
        <v>3632</v>
      </c>
      <c r="B210" s="48">
        <v>5156</v>
      </c>
      <c r="C210" s="46" t="s">
        <v>208</v>
      </c>
      <c r="D210" s="66">
        <v>5</v>
      </c>
      <c r="E210" s="66">
        <v>5</v>
      </c>
      <c r="F210" s="129">
        <v>0</v>
      </c>
      <c r="G210" s="231">
        <v>1</v>
      </c>
      <c r="H210" s="237"/>
    </row>
    <row r="211" spans="1:59" x14ac:dyDescent="0.2">
      <c r="A211" s="47">
        <v>3632</v>
      </c>
      <c r="B211" s="48">
        <v>5169</v>
      </c>
      <c r="C211" s="46" t="s">
        <v>231</v>
      </c>
      <c r="D211" s="66">
        <v>0</v>
      </c>
      <c r="E211" s="66">
        <v>0</v>
      </c>
      <c r="F211" s="129">
        <v>0</v>
      </c>
      <c r="G211" s="231">
        <v>0</v>
      </c>
      <c r="H211" s="237"/>
    </row>
    <row r="212" spans="1:59" ht="18" customHeight="1" x14ac:dyDescent="0.2">
      <c r="A212" s="47">
        <v>3632</v>
      </c>
      <c r="B212" s="48">
        <v>5169</v>
      </c>
      <c r="C212" s="46" t="s">
        <v>384</v>
      </c>
      <c r="D212" s="66">
        <v>10</v>
      </c>
      <c r="E212" s="66">
        <v>10</v>
      </c>
      <c r="F212" s="129">
        <f>7239+6000</f>
        <v>13239</v>
      </c>
      <c r="G212" s="231">
        <v>10</v>
      </c>
      <c r="H212" s="237"/>
    </row>
    <row r="213" spans="1:59" x14ac:dyDescent="0.2">
      <c r="A213" s="47">
        <v>3632</v>
      </c>
      <c r="B213" s="48">
        <v>5169</v>
      </c>
      <c r="C213" s="46" t="s">
        <v>107</v>
      </c>
      <c r="D213" s="66">
        <v>140</v>
      </c>
      <c r="E213" s="66">
        <v>140</v>
      </c>
      <c r="F213" s="129">
        <f>43924.45+8869.36+8869.36+8869.36+8869.36+8869.36+8869.36</f>
        <v>97140.61</v>
      </c>
      <c r="G213" s="231">
        <v>130</v>
      </c>
      <c r="H213" s="237"/>
    </row>
    <row r="214" spans="1:59" x14ac:dyDescent="0.2">
      <c r="A214" s="47">
        <v>3632</v>
      </c>
      <c r="B214" s="48">
        <v>5169</v>
      </c>
      <c r="C214" s="46" t="s">
        <v>108</v>
      </c>
      <c r="D214" s="66">
        <v>40</v>
      </c>
      <c r="E214" s="66">
        <v>40</v>
      </c>
      <c r="F214" s="129">
        <v>0</v>
      </c>
      <c r="G214" s="231">
        <v>20</v>
      </c>
      <c r="H214" s="237"/>
    </row>
    <row r="215" spans="1:59" x14ac:dyDescent="0.2">
      <c r="A215" s="47">
        <v>3632</v>
      </c>
      <c r="B215" s="48">
        <v>5171</v>
      </c>
      <c r="C215" s="46" t="s">
        <v>190</v>
      </c>
      <c r="D215" s="66">
        <v>50</v>
      </c>
      <c r="E215" s="66">
        <v>50</v>
      </c>
      <c r="F215" s="129">
        <v>0</v>
      </c>
      <c r="G215" s="231">
        <v>50</v>
      </c>
      <c r="H215" s="237"/>
    </row>
    <row r="216" spans="1:59" ht="30" x14ac:dyDescent="0.2">
      <c r="A216" s="47">
        <v>3632</v>
      </c>
      <c r="B216" s="48">
        <v>6121</v>
      </c>
      <c r="C216" s="88" t="s">
        <v>385</v>
      </c>
      <c r="D216" s="103"/>
      <c r="E216" s="103"/>
      <c r="F216" s="223"/>
      <c r="G216" s="230">
        <v>15</v>
      </c>
      <c r="H216" s="237"/>
    </row>
    <row r="217" spans="1:59" ht="19.5" customHeight="1" x14ac:dyDescent="0.2">
      <c r="A217" s="47">
        <v>3632</v>
      </c>
      <c r="B217" s="48">
        <v>6121</v>
      </c>
      <c r="C217" s="88" t="s">
        <v>254</v>
      </c>
      <c r="D217" s="103">
        <v>2000</v>
      </c>
      <c r="E217" s="103">
        <v>2000</v>
      </c>
      <c r="F217" s="223">
        <v>476990.1</v>
      </c>
      <c r="G217" s="230">
        <v>2500</v>
      </c>
      <c r="H217" s="237"/>
    </row>
    <row r="218" spans="1:59" s="3" customFormat="1" ht="15.75" x14ac:dyDescent="0.25">
      <c r="A218" s="24">
        <v>3632</v>
      </c>
      <c r="B218" s="25"/>
      <c r="C218" s="57" t="s">
        <v>18</v>
      </c>
      <c r="D218" s="67">
        <f>SUM(D200:D217)</f>
        <v>2600</v>
      </c>
      <c r="E218" s="67">
        <f>SUM(E200:E217)</f>
        <v>2600</v>
      </c>
      <c r="F218" s="130">
        <f>SUM(F200:F217)</f>
        <v>818907.71</v>
      </c>
      <c r="G218" s="233">
        <f>SUM(G200:G217)</f>
        <v>3070</v>
      </c>
      <c r="H218" s="239">
        <f>G218</f>
        <v>3070</v>
      </c>
      <c r="I218" s="251"/>
      <c r="J218" s="251"/>
      <c r="K218" s="265"/>
      <c r="L218" s="265"/>
      <c r="M218" s="265"/>
      <c r="N218" s="265"/>
      <c r="O218" s="265"/>
      <c r="P218" s="265"/>
      <c r="Q218" s="265"/>
      <c r="R218" s="265"/>
      <c r="S218" s="265"/>
      <c r="T218" s="265"/>
      <c r="U218" s="265"/>
      <c r="V218" s="265"/>
      <c r="W218" s="265"/>
      <c r="X218" s="265"/>
      <c r="Y218" s="265"/>
      <c r="Z218" s="265"/>
      <c r="AA218" s="265"/>
      <c r="AB218" s="265"/>
      <c r="AC218" s="265"/>
      <c r="AD218" s="265"/>
      <c r="AE218" s="265"/>
      <c r="AF218" s="265"/>
      <c r="AG218" s="265"/>
      <c r="AH218" s="265"/>
      <c r="AI218" s="265"/>
      <c r="AJ218" s="265"/>
      <c r="AK218" s="265"/>
      <c r="AL218" s="265"/>
      <c r="AM218" s="265"/>
      <c r="AN218" s="265"/>
      <c r="AO218" s="265"/>
      <c r="AP218" s="265"/>
      <c r="AQ218" s="265"/>
      <c r="AR218" s="265"/>
      <c r="AS218" s="265"/>
      <c r="AT218" s="265"/>
      <c r="AU218" s="265"/>
      <c r="AV218" s="265"/>
      <c r="AW218" s="265"/>
      <c r="AX218" s="265"/>
      <c r="AY218" s="265"/>
      <c r="AZ218" s="265"/>
      <c r="BA218" s="265"/>
      <c r="BB218" s="265"/>
      <c r="BC218" s="265"/>
      <c r="BD218" s="265"/>
      <c r="BE218" s="265"/>
      <c r="BF218" s="265"/>
      <c r="BG218" s="265"/>
    </row>
    <row r="219" spans="1:59" x14ac:dyDescent="0.2">
      <c r="A219" s="8"/>
      <c r="B219" s="10"/>
      <c r="C219" s="58"/>
      <c r="D219" s="66"/>
      <c r="E219" s="66"/>
      <c r="F219" s="129"/>
      <c r="G219" s="231"/>
      <c r="H219" s="237"/>
    </row>
    <row r="220" spans="1:59" x14ac:dyDescent="0.2">
      <c r="A220" s="47">
        <v>3635</v>
      </c>
      <c r="B220" s="48">
        <v>5166</v>
      </c>
      <c r="C220" s="46" t="s">
        <v>217</v>
      </c>
      <c r="D220" s="66">
        <v>300</v>
      </c>
      <c r="E220" s="66">
        <v>300</v>
      </c>
      <c r="F220" s="129">
        <v>68425</v>
      </c>
      <c r="G220" s="231">
        <v>300</v>
      </c>
      <c r="H220" s="237"/>
    </row>
    <row r="221" spans="1:59" ht="18" customHeight="1" x14ac:dyDescent="0.2">
      <c r="A221" s="47">
        <v>3635</v>
      </c>
      <c r="B221" s="48">
        <v>5166</v>
      </c>
      <c r="C221" s="46" t="s">
        <v>406</v>
      </c>
      <c r="D221" s="66">
        <v>3255</v>
      </c>
      <c r="E221" s="66">
        <v>3255</v>
      </c>
      <c r="F221" s="129">
        <f>250107+2192550.3+7500+6000-F222+4500</f>
        <v>140133.29999999981</v>
      </c>
      <c r="G221" s="231">
        <v>0</v>
      </c>
      <c r="H221" s="237"/>
    </row>
    <row r="222" spans="1:59" x14ac:dyDescent="0.2">
      <c r="A222" s="47">
        <v>3635</v>
      </c>
      <c r="B222" s="48">
        <v>5166</v>
      </c>
      <c r="C222" s="46" t="s">
        <v>255</v>
      </c>
      <c r="D222" s="66">
        <v>0</v>
      </c>
      <c r="E222" s="66">
        <v>3183.9</v>
      </c>
      <c r="F222" s="129">
        <v>2320524</v>
      </c>
      <c r="G222" s="231">
        <v>0</v>
      </c>
      <c r="H222" s="237"/>
    </row>
    <row r="223" spans="1:59" s="3" customFormat="1" ht="15.75" x14ac:dyDescent="0.25">
      <c r="A223" s="24">
        <v>3635</v>
      </c>
      <c r="B223" s="25"/>
      <c r="C223" s="57" t="s">
        <v>19</v>
      </c>
      <c r="D223" s="67">
        <f>SUM(D220:D222)</f>
        <v>3555</v>
      </c>
      <c r="E223" s="67">
        <f>SUM(E220:E222)</f>
        <v>6738.9</v>
      </c>
      <c r="F223" s="130">
        <f t="shared" ref="F223" si="4">SUM(F220:F222)</f>
        <v>2529082.2999999998</v>
      </c>
      <c r="G223" s="233">
        <f>SUM(G220:G222)</f>
        <v>300</v>
      </c>
      <c r="H223" s="239">
        <f>G223</f>
        <v>300</v>
      </c>
      <c r="I223" s="251"/>
      <c r="J223" s="251"/>
      <c r="K223" s="265"/>
      <c r="L223" s="265"/>
      <c r="M223" s="265"/>
      <c r="N223" s="265"/>
      <c r="O223" s="265"/>
      <c r="P223" s="265"/>
      <c r="Q223" s="265"/>
      <c r="R223" s="265"/>
      <c r="S223" s="265"/>
      <c r="T223" s="265"/>
      <c r="U223" s="265"/>
      <c r="V223" s="265"/>
      <c r="W223" s="265"/>
      <c r="X223" s="265"/>
      <c r="Y223" s="265"/>
      <c r="Z223" s="265"/>
      <c r="AA223" s="265"/>
      <c r="AB223" s="265"/>
      <c r="AC223" s="265"/>
      <c r="AD223" s="265"/>
      <c r="AE223" s="265"/>
      <c r="AF223" s="265"/>
      <c r="AG223" s="265"/>
      <c r="AH223" s="265"/>
      <c r="AI223" s="265"/>
      <c r="AJ223" s="265"/>
      <c r="AK223" s="265"/>
      <c r="AL223" s="265"/>
      <c r="AM223" s="265"/>
      <c r="AN223" s="265"/>
      <c r="AO223" s="265"/>
      <c r="AP223" s="265"/>
      <c r="AQ223" s="265"/>
      <c r="AR223" s="265"/>
      <c r="AS223" s="265"/>
      <c r="AT223" s="265"/>
      <c r="AU223" s="265"/>
      <c r="AV223" s="265"/>
      <c r="AW223" s="265"/>
      <c r="AX223" s="265"/>
      <c r="AY223" s="265"/>
      <c r="AZ223" s="265"/>
      <c r="BA223" s="265"/>
      <c r="BB223" s="265"/>
      <c r="BC223" s="265"/>
      <c r="BD223" s="265"/>
      <c r="BE223" s="265"/>
      <c r="BF223" s="265"/>
      <c r="BG223" s="265"/>
    </row>
    <row r="224" spans="1:59" s="3" customFormat="1" ht="15.75" x14ac:dyDescent="0.25">
      <c r="A224" s="24"/>
      <c r="B224" s="25"/>
      <c r="C224" s="57"/>
      <c r="D224" s="66"/>
      <c r="E224" s="66"/>
      <c r="F224" s="130"/>
      <c r="G224" s="231"/>
      <c r="H224" s="237"/>
      <c r="I224" s="251"/>
      <c r="J224" s="251"/>
      <c r="K224" s="265"/>
      <c r="L224" s="265"/>
      <c r="M224" s="265"/>
      <c r="N224" s="265"/>
      <c r="O224" s="265"/>
      <c r="P224" s="265"/>
      <c r="Q224" s="265"/>
      <c r="R224" s="265"/>
      <c r="S224" s="265"/>
      <c r="T224" s="265"/>
      <c r="U224" s="265"/>
      <c r="V224" s="265"/>
      <c r="W224" s="265"/>
      <c r="X224" s="265"/>
      <c r="Y224" s="265"/>
      <c r="Z224" s="265"/>
      <c r="AA224" s="265"/>
      <c r="AB224" s="265"/>
      <c r="AC224" s="265"/>
      <c r="AD224" s="265"/>
      <c r="AE224" s="265"/>
      <c r="AF224" s="265"/>
      <c r="AG224" s="265"/>
      <c r="AH224" s="265"/>
      <c r="AI224" s="265"/>
      <c r="AJ224" s="265"/>
      <c r="AK224" s="265"/>
      <c r="AL224" s="265"/>
      <c r="AM224" s="265"/>
      <c r="AN224" s="265"/>
      <c r="AO224" s="265"/>
      <c r="AP224" s="265"/>
      <c r="AQ224" s="265"/>
      <c r="AR224" s="265"/>
      <c r="AS224" s="265"/>
      <c r="AT224" s="265"/>
      <c r="AU224" s="265"/>
      <c r="AV224" s="265"/>
      <c r="AW224" s="265"/>
      <c r="AX224" s="265"/>
      <c r="AY224" s="265"/>
      <c r="AZ224" s="265"/>
      <c r="BA224" s="265"/>
      <c r="BB224" s="265"/>
      <c r="BC224" s="265"/>
      <c r="BD224" s="265"/>
      <c r="BE224" s="265"/>
      <c r="BF224" s="265"/>
      <c r="BG224" s="265"/>
    </row>
    <row r="225" spans="1:59" x14ac:dyDescent="0.2">
      <c r="A225" s="47">
        <v>3639</v>
      </c>
      <c r="B225" s="48">
        <v>5151</v>
      </c>
      <c r="C225" s="46" t="s">
        <v>10</v>
      </c>
      <c r="D225" s="66">
        <v>4</v>
      </c>
      <c r="E225" s="66">
        <v>4</v>
      </c>
      <c r="F225" s="129">
        <v>920</v>
      </c>
      <c r="G225" s="231">
        <v>4</v>
      </c>
      <c r="H225" s="237"/>
    </row>
    <row r="226" spans="1:59" s="6" customFormat="1" x14ac:dyDescent="0.2">
      <c r="A226" s="47">
        <v>3639</v>
      </c>
      <c r="B226" s="48">
        <v>5154</v>
      </c>
      <c r="C226" s="46" t="s">
        <v>232</v>
      </c>
      <c r="D226" s="66">
        <v>24</v>
      </c>
      <c r="E226" s="66">
        <v>24</v>
      </c>
      <c r="F226" s="129">
        <v>17674</v>
      </c>
      <c r="G226" s="231">
        <v>24</v>
      </c>
      <c r="H226" s="237"/>
      <c r="I226" s="251"/>
      <c r="J226" s="251"/>
      <c r="K226" s="264"/>
      <c r="L226" s="264"/>
      <c r="M226" s="264"/>
      <c r="N226" s="264"/>
      <c r="O226" s="264"/>
      <c r="P226" s="264"/>
      <c r="Q226" s="264"/>
      <c r="R226" s="264"/>
      <c r="S226" s="264"/>
      <c r="T226" s="264"/>
      <c r="U226" s="264"/>
      <c r="V226" s="264"/>
      <c r="W226" s="264"/>
      <c r="X226" s="264"/>
      <c r="Y226" s="264"/>
      <c r="Z226" s="264"/>
      <c r="AA226" s="264"/>
      <c r="AB226" s="264"/>
      <c r="AC226" s="264"/>
      <c r="AD226" s="264"/>
      <c r="AE226" s="264"/>
      <c r="AF226" s="264"/>
      <c r="AG226" s="264"/>
      <c r="AH226" s="264"/>
      <c r="AI226" s="264"/>
      <c r="AJ226" s="264"/>
      <c r="AK226" s="264"/>
      <c r="AL226" s="264"/>
      <c r="AM226" s="264"/>
      <c r="AN226" s="264"/>
      <c r="AO226" s="264"/>
      <c r="AP226" s="264"/>
      <c r="AQ226" s="264"/>
      <c r="AR226" s="264"/>
      <c r="AS226" s="264"/>
      <c r="AT226" s="264"/>
      <c r="AU226" s="264"/>
      <c r="AV226" s="264"/>
      <c r="AW226" s="264"/>
      <c r="AX226" s="264"/>
      <c r="AY226" s="264"/>
      <c r="AZ226" s="264"/>
      <c r="BA226" s="264"/>
      <c r="BB226" s="264"/>
      <c r="BC226" s="264"/>
      <c r="BD226" s="264"/>
      <c r="BE226" s="264"/>
      <c r="BF226" s="264"/>
      <c r="BG226" s="264"/>
    </row>
    <row r="227" spans="1:59" s="6" customFormat="1" x14ac:dyDescent="0.2">
      <c r="A227" s="47">
        <v>3639</v>
      </c>
      <c r="B227" s="48">
        <v>5169</v>
      </c>
      <c r="C227" s="46" t="s">
        <v>256</v>
      </c>
      <c r="D227" s="66">
        <v>5</v>
      </c>
      <c r="E227" s="66">
        <v>5</v>
      </c>
      <c r="F227" s="129">
        <v>0</v>
      </c>
      <c r="G227" s="231">
        <v>5</v>
      </c>
      <c r="H227" s="237"/>
      <c r="I227" s="251"/>
      <c r="J227" s="251"/>
      <c r="K227" s="264"/>
      <c r="L227" s="264"/>
      <c r="M227" s="264"/>
      <c r="N227" s="264"/>
      <c r="O227" s="264"/>
      <c r="P227" s="264"/>
      <c r="Q227" s="264"/>
      <c r="R227" s="264"/>
      <c r="S227" s="264"/>
      <c r="T227" s="264"/>
      <c r="U227" s="264"/>
      <c r="V227" s="264"/>
      <c r="W227" s="264"/>
      <c r="X227" s="264"/>
      <c r="Y227" s="264"/>
      <c r="Z227" s="264"/>
      <c r="AA227" s="264"/>
      <c r="AB227" s="264"/>
      <c r="AC227" s="264"/>
      <c r="AD227" s="264"/>
      <c r="AE227" s="264"/>
      <c r="AF227" s="264"/>
      <c r="AG227" s="264"/>
      <c r="AH227" s="264"/>
      <c r="AI227" s="264"/>
      <c r="AJ227" s="264"/>
      <c r="AK227" s="264"/>
      <c r="AL227" s="264"/>
      <c r="AM227" s="264"/>
      <c r="AN227" s="264"/>
      <c r="AO227" s="264"/>
      <c r="AP227" s="264"/>
      <c r="AQ227" s="264"/>
      <c r="AR227" s="264"/>
      <c r="AS227" s="264"/>
      <c r="AT227" s="264"/>
      <c r="AU227" s="264"/>
      <c r="AV227" s="264"/>
      <c r="AW227" s="264"/>
      <c r="AX227" s="264"/>
      <c r="AY227" s="264"/>
      <c r="AZ227" s="264"/>
      <c r="BA227" s="264"/>
      <c r="BB227" s="264"/>
      <c r="BC227" s="264"/>
      <c r="BD227" s="264"/>
      <c r="BE227" s="264"/>
      <c r="BF227" s="264"/>
      <c r="BG227" s="264"/>
    </row>
    <row r="228" spans="1:59" s="6" customFormat="1" x14ac:dyDescent="0.2">
      <c r="A228" s="47">
        <v>3639</v>
      </c>
      <c r="B228" s="48">
        <v>5171</v>
      </c>
      <c r="C228" s="46" t="s">
        <v>218</v>
      </c>
      <c r="D228" s="66">
        <v>10</v>
      </c>
      <c r="E228" s="66">
        <v>10</v>
      </c>
      <c r="F228" s="129">
        <v>0</v>
      </c>
      <c r="G228" s="231">
        <v>10</v>
      </c>
      <c r="H228" s="237"/>
      <c r="I228" s="251"/>
      <c r="J228" s="251"/>
      <c r="K228" s="264"/>
      <c r="L228" s="264"/>
      <c r="M228" s="264"/>
      <c r="N228" s="264"/>
      <c r="O228" s="264"/>
      <c r="P228" s="264"/>
      <c r="Q228" s="264"/>
      <c r="R228" s="264"/>
      <c r="S228" s="264"/>
      <c r="T228" s="264"/>
      <c r="U228" s="264"/>
      <c r="V228" s="264"/>
      <c r="W228" s="264"/>
      <c r="X228" s="264"/>
      <c r="Y228" s="264"/>
      <c r="Z228" s="264"/>
      <c r="AA228" s="264"/>
      <c r="AB228" s="264"/>
      <c r="AC228" s="264"/>
      <c r="AD228" s="264"/>
      <c r="AE228" s="264"/>
      <c r="AF228" s="264"/>
      <c r="AG228" s="264"/>
      <c r="AH228" s="264"/>
      <c r="AI228" s="264"/>
      <c r="AJ228" s="264"/>
      <c r="AK228" s="264"/>
      <c r="AL228" s="264"/>
      <c r="AM228" s="264"/>
      <c r="AN228" s="264"/>
      <c r="AO228" s="264"/>
      <c r="AP228" s="264"/>
      <c r="AQ228" s="264"/>
      <c r="AR228" s="264"/>
      <c r="AS228" s="264"/>
      <c r="AT228" s="264"/>
      <c r="AU228" s="264"/>
      <c r="AV228" s="264"/>
      <c r="AW228" s="264"/>
      <c r="AX228" s="264"/>
      <c r="AY228" s="264"/>
      <c r="AZ228" s="264"/>
      <c r="BA228" s="264"/>
      <c r="BB228" s="264"/>
      <c r="BC228" s="264"/>
      <c r="BD228" s="264"/>
      <c r="BE228" s="264"/>
      <c r="BF228" s="264"/>
      <c r="BG228" s="264"/>
    </row>
    <row r="229" spans="1:59" s="6" customFormat="1" x14ac:dyDescent="0.2">
      <c r="A229" s="47">
        <v>3639</v>
      </c>
      <c r="B229" s="48">
        <v>5171</v>
      </c>
      <c r="C229" s="46" t="s">
        <v>386</v>
      </c>
      <c r="D229" s="66">
        <v>30</v>
      </c>
      <c r="E229" s="66">
        <v>30</v>
      </c>
      <c r="F229" s="129">
        <v>0</v>
      </c>
      <c r="G229" s="231">
        <v>30</v>
      </c>
      <c r="H229" s="237"/>
      <c r="I229" s="251"/>
      <c r="J229" s="251"/>
      <c r="K229" s="264"/>
      <c r="L229" s="264"/>
      <c r="M229" s="264"/>
      <c r="N229" s="264"/>
      <c r="O229" s="264"/>
      <c r="P229" s="264"/>
      <c r="Q229" s="264"/>
      <c r="R229" s="264"/>
      <c r="S229" s="264"/>
      <c r="T229" s="264"/>
      <c r="U229" s="264"/>
      <c r="V229" s="264"/>
      <c r="W229" s="264"/>
      <c r="X229" s="264"/>
      <c r="Y229" s="264"/>
      <c r="Z229" s="264"/>
      <c r="AA229" s="264"/>
      <c r="AB229" s="264"/>
      <c r="AC229" s="264"/>
      <c r="AD229" s="264"/>
      <c r="AE229" s="264"/>
      <c r="AF229" s="264"/>
      <c r="AG229" s="264"/>
      <c r="AH229" s="264"/>
      <c r="AI229" s="264"/>
      <c r="AJ229" s="264"/>
      <c r="AK229" s="264"/>
      <c r="AL229" s="264"/>
      <c r="AM229" s="264"/>
      <c r="AN229" s="264"/>
      <c r="AO229" s="264"/>
      <c r="AP229" s="264"/>
      <c r="AQ229" s="264"/>
      <c r="AR229" s="264"/>
      <c r="AS229" s="264"/>
      <c r="AT229" s="264"/>
      <c r="AU229" s="264"/>
      <c r="AV229" s="264"/>
      <c r="AW229" s="264"/>
      <c r="AX229" s="264"/>
      <c r="AY229" s="264"/>
      <c r="AZ229" s="264"/>
      <c r="BA229" s="264"/>
      <c r="BB229" s="264"/>
      <c r="BC229" s="264"/>
      <c r="BD229" s="264"/>
      <c r="BE229" s="264"/>
      <c r="BF229" s="264"/>
      <c r="BG229" s="264"/>
    </row>
    <row r="230" spans="1:59" ht="30" customHeight="1" x14ac:dyDescent="0.2">
      <c r="A230" s="47">
        <v>3639</v>
      </c>
      <c r="B230" s="48">
        <v>6121</v>
      </c>
      <c r="C230" s="88" t="s">
        <v>262</v>
      </c>
      <c r="D230" s="103">
        <v>1000</v>
      </c>
      <c r="E230" s="103">
        <v>1000</v>
      </c>
      <c r="F230" s="223">
        <v>367154.99</v>
      </c>
      <c r="G230" s="231">
        <v>0</v>
      </c>
      <c r="H230" s="237"/>
    </row>
    <row r="231" spans="1:59" s="3" customFormat="1" ht="15.75" x14ac:dyDescent="0.25">
      <c r="A231" s="24">
        <v>3639</v>
      </c>
      <c r="B231" s="25"/>
      <c r="C231" s="57" t="s">
        <v>47</v>
      </c>
      <c r="D231" s="67">
        <f>SUM(D225:D230)</f>
        <v>1073</v>
      </c>
      <c r="E231" s="67">
        <f>SUM(E225:E230)</f>
        <v>1073</v>
      </c>
      <c r="F231" s="130">
        <f>SUM(F225:F230)</f>
        <v>385748.99</v>
      </c>
      <c r="G231" s="233">
        <f>SUM(G225:G230)</f>
        <v>73</v>
      </c>
      <c r="H231" s="239">
        <f>G231</f>
        <v>73</v>
      </c>
      <c r="I231" s="251"/>
      <c r="J231" s="251"/>
      <c r="K231" s="265"/>
      <c r="L231" s="265"/>
      <c r="M231" s="265"/>
      <c r="N231" s="265"/>
      <c r="O231" s="265"/>
      <c r="P231" s="265"/>
      <c r="Q231" s="265"/>
      <c r="R231" s="265"/>
      <c r="S231" s="265"/>
      <c r="T231" s="265"/>
      <c r="U231" s="265"/>
      <c r="V231" s="265"/>
      <c r="W231" s="265"/>
      <c r="X231" s="265"/>
      <c r="Y231" s="265"/>
      <c r="Z231" s="265"/>
      <c r="AA231" s="265"/>
      <c r="AB231" s="265"/>
      <c r="AC231" s="265"/>
      <c r="AD231" s="265"/>
      <c r="AE231" s="265"/>
      <c r="AF231" s="265"/>
      <c r="AG231" s="265"/>
      <c r="AH231" s="265"/>
      <c r="AI231" s="265"/>
      <c r="AJ231" s="265"/>
      <c r="AK231" s="265"/>
      <c r="AL231" s="265"/>
      <c r="AM231" s="265"/>
      <c r="AN231" s="265"/>
      <c r="AO231" s="265"/>
      <c r="AP231" s="265"/>
      <c r="AQ231" s="265"/>
      <c r="AR231" s="265"/>
      <c r="AS231" s="265"/>
      <c r="AT231" s="265"/>
      <c r="AU231" s="265"/>
      <c r="AV231" s="265"/>
      <c r="AW231" s="265"/>
      <c r="AX231" s="265"/>
      <c r="AY231" s="265"/>
      <c r="AZ231" s="265"/>
      <c r="BA231" s="265"/>
      <c r="BB231" s="265"/>
      <c r="BC231" s="265"/>
      <c r="BD231" s="265"/>
      <c r="BE231" s="265"/>
      <c r="BF231" s="265"/>
      <c r="BG231" s="265"/>
    </row>
    <row r="232" spans="1:59" s="3" customFormat="1" ht="15.75" x14ac:dyDescent="0.25">
      <c r="A232" s="24"/>
      <c r="B232" s="25"/>
      <c r="C232" s="57"/>
      <c r="D232" s="66"/>
      <c r="E232" s="66"/>
      <c r="F232" s="130"/>
      <c r="G232" s="231"/>
      <c r="H232" s="237"/>
      <c r="I232" s="251"/>
      <c r="J232" s="251"/>
      <c r="K232" s="265"/>
      <c r="L232" s="265"/>
      <c r="M232" s="265"/>
      <c r="N232" s="265"/>
      <c r="O232" s="265"/>
      <c r="P232" s="265"/>
      <c r="Q232" s="265"/>
      <c r="R232" s="265"/>
      <c r="S232" s="265"/>
      <c r="T232" s="265"/>
      <c r="U232" s="265"/>
      <c r="V232" s="265"/>
      <c r="W232" s="265"/>
      <c r="X232" s="265"/>
      <c r="Y232" s="265"/>
      <c r="Z232" s="265"/>
      <c r="AA232" s="265"/>
      <c r="AB232" s="265"/>
      <c r="AC232" s="265"/>
      <c r="AD232" s="265"/>
      <c r="AE232" s="265"/>
      <c r="AF232" s="265"/>
      <c r="AG232" s="265"/>
      <c r="AH232" s="265"/>
      <c r="AI232" s="265"/>
      <c r="AJ232" s="265"/>
      <c r="AK232" s="265"/>
      <c r="AL232" s="265"/>
      <c r="AM232" s="265"/>
      <c r="AN232" s="265"/>
      <c r="AO232" s="265"/>
      <c r="AP232" s="265"/>
      <c r="AQ232" s="265"/>
      <c r="AR232" s="265"/>
      <c r="AS232" s="265"/>
      <c r="AT232" s="265"/>
      <c r="AU232" s="265"/>
      <c r="AV232" s="265"/>
      <c r="AW232" s="265"/>
      <c r="AX232" s="265"/>
      <c r="AY232" s="265"/>
      <c r="AZ232" s="265"/>
      <c r="BA232" s="265"/>
      <c r="BB232" s="265"/>
      <c r="BC232" s="265"/>
      <c r="BD232" s="265"/>
      <c r="BE232" s="265"/>
      <c r="BF232" s="265"/>
      <c r="BG232" s="265"/>
    </row>
    <row r="233" spans="1:59" s="3" customFormat="1" x14ac:dyDescent="0.2">
      <c r="A233" s="8">
        <v>3722</v>
      </c>
      <c r="B233" s="10">
        <v>5169</v>
      </c>
      <c r="C233" s="58" t="s">
        <v>5</v>
      </c>
      <c r="D233" s="66">
        <v>80</v>
      </c>
      <c r="E233" s="66">
        <v>80</v>
      </c>
      <c r="F233" s="129">
        <v>68856.570000000007</v>
      </c>
      <c r="G233" s="231">
        <v>90</v>
      </c>
      <c r="H233" s="237"/>
      <c r="I233" s="251"/>
      <c r="J233" s="251"/>
      <c r="K233" s="265"/>
      <c r="L233" s="265"/>
      <c r="M233" s="265"/>
      <c r="N233" s="265"/>
      <c r="O233" s="265"/>
      <c r="P233" s="265"/>
      <c r="Q233" s="265"/>
      <c r="R233" s="265"/>
      <c r="S233" s="265"/>
      <c r="T233" s="265"/>
      <c r="U233" s="265"/>
      <c r="V233" s="265"/>
      <c r="W233" s="265"/>
      <c r="X233" s="265"/>
      <c r="Y233" s="265"/>
      <c r="Z233" s="265"/>
      <c r="AA233" s="265"/>
      <c r="AB233" s="265"/>
      <c r="AC233" s="265"/>
      <c r="AD233" s="265"/>
      <c r="AE233" s="265"/>
      <c r="AF233" s="265"/>
      <c r="AG233" s="265"/>
      <c r="AH233" s="265"/>
      <c r="AI233" s="265"/>
      <c r="AJ233" s="265"/>
      <c r="AK233" s="265"/>
      <c r="AL233" s="265"/>
      <c r="AM233" s="265"/>
      <c r="AN233" s="265"/>
      <c r="AO233" s="265"/>
      <c r="AP233" s="265"/>
      <c r="AQ233" s="265"/>
      <c r="AR233" s="265"/>
      <c r="AS233" s="265"/>
      <c r="AT233" s="265"/>
      <c r="AU233" s="265"/>
      <c r="AV233" s="265"/>
      <c r="AW233" s="265"/>
      <c r="AX233" s="265"/>
      <c r="AY233" s="265"/>
      <c r="AZ233" s="265"/>
      <c r="BA233" s="265"/>
      <c r="BB233" s="265"/>
      <c r="BC233" s="265"/>
      <c r="BD233" s="265"/>
      <c r="BE233" s="265"/>
      <c r="BF233" s="265"/>
      <c r="BG233" s="265"/>
    </row>
    <row r="234" spans="1:59" s="3" customFormat="1" x14ac:dyDescent="0.2">
      <c r="A234" s="8">
        <v>3722</v>
      </c>
      <c r="B234" s="45">
        <v>6121</v>
      </c>
      <c r="C234" s="88" t="s">
        <v>154</v>
      </c>
      <c r="D234" s="103">
        <v>300</v>
      </c>
      <c r="E234" s="103">
        <v>300</v>
      </c>
      <c r="F234" s="134">
        <v>252573.12</v>
      </c>
      <c r="G234" s="230">
        <v>300</v>
      </c>
      <c r="H234" s="237"/>
      <c r="I234" s="251"/>
      <c r="J234" s="251"/>
      <c r="K234" s="265"/>
      <c r="L234" s="265"/>
      <c r="M234" s="265"/>
      <c r="N234" s="265"/>
      <c r="O234" s="265"/>
      <c r="P234" s="265"/>
      <c r="Q234" s="265"/>
      <c r="R234" s="265"/>
      <c r="S234" s="265"/>
      <c r="T234" s="265"/>
      <c r="U234" s="265"/>
      <c r="V234" s="265"/>
      <c r="W234" s="265"/>
      <c r="X234" s="265"/>
      <c r="Y234" s="265"/>
      <c r="Z234" s="265"/>
      <c r="AA234" s="265"/>
      <c r="AB234" s="265"/>
      <c r="AC234" s="265"/>
      <c r="AD234" s="265"/>
      <c r="AE234" s="265"/>
      <c r="AF234" s="265"/>
      <c r="AG234" s="265"/>
      <c r="AH234" s="265"/>
      <c r="AI234" s="265"/>
      <c r="AJ234" s="265"/>
      <c r="AK234" s="265"/>
      <c r="AL234" s="265"/>
      <c r="AM234" s="265"/>
      <c r="AN234" s="265"/>
      <c r="AO234" s="265"/>
      <c r="AP234" s="265"/>
      <c r="AQ234" s="265"/>
      <c r="AR234" s="265"/>
      <c r="AS234" s="265"/>
      <c r="AT234" s="265"/>
      <c r="AU234" s="265"/>
      <c r="AV234" s="265"/>
      <c r="AW234" s="265"/>
      <c r="AX234" s="265"/>
      <c r="AY234" s="265"/>
      <c r="AZ234" s="265"/>
      <c r="BA234" s="265"/>
      <c r="BB234" s="265"/>
      <c r="BC234" s="265"/>
      <c r="BD234" s="265"/>
      <c r="BE234" s="265"/>
      <c r="BF234" s="265"/>
      <c r="BG234" s="265"/>
    </row>
    <row r="235" spans="1:59" s="3" customFormat="1" ht="15.75" x14ac:dyDescent="0.25">
      <c r="A235" s="24">
        <v>3722</v>
      </c>
      <c r="B235" s="25"/>
      <c r="C235" s="57" t="s">
        <v>20</v>
      </c>
      <c r="D235" s="67">
        <f>SUM(D233:D234)</f>
        <v>380</v>
      </c>
      <c r="E235" s="67">
        <f>SUM(E233:E234)</f>
        <v>380</v>
      </c>
      <c r="F235" s="130">
        <f>SUM(F233:F234)</f>
        <v>321429.69</v>
      </c>
      <c r="G235" s="233">
        <f>SUM(G233:G234)</f>
        <v>390</v>
      </c>
      <c r="H235" s="239">
        <f>G235</f>
        <v>390</v>
      </c>
      <c r="I235" s="251"/>
      <c r="J235" s="251"/>
      <c r="K235" s="265"/>
      <c r="L235" s="265"/>
      <c r="M235" s="265"/>
      <c r="N235" s="265"/>
      <c r="O235" s="265"/>
      <c r="P235" s="265"/>
      <c r="Q235" s="265"/>
      <c r="R235" s="265"/>
      <c r="S235" s="265"/>
      <c r="T235" s="265"/>
      <c r="U235" s="265"/>
      <c r="V235" s="265"/>
      <c r="W235" s="265"/>
      <c r="X235" s="265"/>
      <c r="Y235" s="265"/>
      <c r="Z235" s="265"/>
      <c r="AA235" s="265"/>
      <c r="AB235" s="265"/>
      <c r="AC235" s="265"/>
      <c r="AD235" s="265"/>
      <c r="AE235" s="265"/>
      <c r="AF235" s="265"/>
      <c r="AG235" s="265"/>
      <c r="AH235" s="265"/>
      <c r="AI235" s="265"/>
      <c r="AJ235" s="265"/>
      <c r="AK235" s="265"/>
      <c r="AL235" s="265"/>
      <c r="AM235" s="265"/>
      <c r="AN235" s="265"/>
      <c r="AO235" s="265"/>
      <c r="AP235" s="265"/>
      <c r="AQ235" s="265"/>
      <c r="AR235" s="265"/>
      <c r="AS235" s="265"/>
      <c r="AT235" s="265"/>
      <c r="AU235" s="265"/>
      <c r="AV235" s="265"/>
      <c r="AW235" s="265"/>
      <c r="AX235" s="265"/>
      <c r="AY235" s="265"/>
      <c r="AZ235" s="265"/>
      <c r="BA235" s="265"/>
      <c r="BB235" s="265"/>
      <c r="BC235" s="265"/>
      <c r="BD235" s="265"/>
      <c r="BE235" s="265"/>
      <c r="BF235" s="265"/>
      <c r="BG235" s="265"/>
    </row>
    <row r="236" spans="1:59" s="3" customFormat="1" ht="15.75" x14ac:dyDescent="0.25">
      <c r="A236" s="24"/>
      <c r="B236" s="25"/>
      <c r="C236" s="57"/>
      <c r="D236" s="66"/>
      <c r="E236" s="66"/>
      <c r="F236" s="130"/>
      <c r="G236" s="231"/>
      <c r="H236" s="237"/>
      <c r="I236" s="251"/>
      <c r="J236" s="251"/>
      <c r="K236" s="265"/>
      <c r="L236" s="265"/>
      <c r="M236" s="265"/>
      <c r="N236" s="265"/>
      <c r="O236" s="265"/>
      <c r="P236" s="265"/>
      <c r="Q236" s="265"/>
      <c r="R236" s="265"/>
      <c r="S236" s="265"/>
      <c r="T236" s="265"/>
      <c r="U236" s="265"/>
      <c r="V236" s="265"/>
      <c r="W236" s="265"/>
      <c r="X236" s="265"/>
      <c r="Y236" s="265"/>
      <c r="Z236" s="265"/>
      <c r="AA236" s="265"/>
      <c r="AB236" s="265"/>
      <c r="AC236" s="265"/>
      <c r="AD236" s="265"/>
      <c r="AE236" s="265"/>
      <c r="AF236" s="265"/>
      <c r="AG236" s="265"/>
      <c r="AH236" s="265"/>
      <c r="AI236" s="265"/>
      <c r="AJ236" s="265"/>
      <c r="AK236" s="265"/>
      <c r="AL236" s="265"/>
      <c r="AM236" s="265"/>
      <c r="AN236" s="265"/>
      <c r="AO236" s="265"/>
      <c r="AP236" s="265"/>
      <c r="AQ236" s="265"/>
      <c r="AR236" s="265"/>
      <c r="AS236" s="265"/>
      <c r="AT236" s="265"/>
      <c r="AU236" s="265"/>
      <c r="AV236" s="265"/>
      <c r="AW236" s="265"/>
      <c r="AX236" s="265"/>
      <c r="AY236" s="265"/>
      <c r="AZ236" s="265"/>
      <c r="BA236" s="265"/>
      <c r="BB236" s="265"/>
      <c r="BC236" s="265"/>
      <c r="BD236" s="265"/>
      <c r="BE236" s="265"/>
      <c r="BF236" s="265"/>
      <c r="BG236" s="265"/>
    </row>
    <row r="237" spans="1:59" s="3" customFormat="1" x14ac:dyDescent="0.2">
      <c r="A237" s="8">
        <v>3731</v>
      </c>
      <c r="B237" s="10">
        <v>5169</v>
      </c>
      <c r="C237" s="58" t="s">
        <v>37</v>
      </c>
      <c r="D237" s="66">
        <v>12</v>
      </c>
      <c r="E237" s="66">
        <v>12</v>
      </c>
      <c r="F237" s="129">
        <v>11603.9</v>
      </c>
      <c r="G237" s="231">
        <v>15</v>
      </c>
      <c r="H237" s="237"/>
      <c r="I237" s="251"/>
      <c r="J237" s="251"/>
      <c r="K237" s="265"/>
      <c r="L237" s="265"/>
      <c r="M237" s="265"/>
      <c r="N237" s="265"/>
      <c r="O237" s="265"/>
      <c r="P237" s="265"/>
      <c r="Q237" s="265"/>
      <c r="R237" s="265"/>
      <c r="S237" s="265"/>
      <c r="T237" s="265"/>
      <c r="U237" s="265"/>
      <c r="V237" s="265"/>
      <c r="W237" s="265"/>
      <c r="X237" s="265"/>
      <c r="Y237" s="265"/>
      <c r="Z237" s="265"/>
      <c r="AA237" s="265"/>
      <c r="AB237" s="265"/>
      <c r="AC237" s="265"/>
      <c r="AD237" s="265"/>
      <c r="AE237" s="265"/>
      <c r="AF237" s="265"/>
      <c r="AG237" s="265"/>
      <c r="AH237" s="265"/>
      <c r="AI237" s="265"/>
      <c r="AJ237" s="265"/>
      <c r="AK237" s="265"/>
      <c r="AL237" s="265"/>
      <c r="AM237" s="265"/>
      <c r="AN237" s="265"/>
      <c r="AO237" s="265"/>
      <c r="AP237" s="265"/>
      <c r="AQ237" s="265"/>
      <c r="AR237" s="265"/>
      <c r="AS237" s="265"/>
      <c r="AT237" s="265"/>
      <c r="AU237" s="265"/>
      <c r="AV237" s="265"/>
      <c r="AW237" s="265"/>
      <c r="AX237" s="265"/>
      <c r="AY237" s="265"/>
      <c r="AZ237" s="265"/>
      <c r="BA237" s="265"/>
      <c r="BB237" s="265"/>
      <c r="BC237" s="265"/>
      <c r="BD237" s="265"/>
      <c r="BE237" s="265"/>
      <c r="BF237" s="265"/>
      <c r="BG237" s="265"/>
    </row>
    <row r="238" spans="1:59" s="3" customFormat="1" ht="15.75" x14ac:dyDescent="0.25">
      <c r="A238" s="24">
        <v>3731</v>
      </c>
      <c r="B238" s="25"/>
      <c r="C238" s="57" t="s">
        <v>77</v>
      </c>
      <c r="D238" s="67">
        <f>SUM(D237)</f>
        <v>12</v>
      </c>
      <c r="E238" s="67">
        <f>SUM(E237)</f>
        <v>12</v>
      </c>
      <c r="F238" s="130">
        <f>SUM(F237)</f>
        <v>11603.9</v>
      </c>
      <c r="G238" s="233">
        <f>SUM(G237)</f>
        <v>15</v>
      </c>
      <c r="H238" s="239">
        <f>G238</f>
        <v>15</v>
      </c>
      <c r="I238" s="251"/>
      <c r="J238" s="251"/>
      <c r="K238" s="265"/>
      <c r="L238" s="265"/>
      <c r="M238" s="265"/>
      <c r="N238" s="265"/>
      <c r="O238" s="265"/>
      <c r="P238" s="265"/>
      <c r="Q238" s="265"/>
      <c r="R238" s="265"/>
      <c r="S238" s="265"/>
      <c r="T238" s="265"/>
      <c r="U238" s="265"/>
      <c r="V238" s="265"/>
      <c r="W238" s="265"/>
      <c r="X238" s="265"/>
      <c r="Y238" s="265"/>
      <c r="Z238" s="265"/>
      <c r="AA238" s="265"/>
      <c r="AB238" s="265"/>
      <c r="AC238" s="265"/>
      <c r="AD238" s="265"/>
      <c r="AE238" s="265"/>
      <c r="AF238" s="265"/>
      <c r="AG238" s="265"/>
      <c r="AH238" s="265"/>
      <c r="AI238" s="265"/>
      <c r="AJ238" s="265"/>
      <c r="AK238" s="265"/>
      <c r="AL238" s="265"/>
      <c r="AM238" s="265"/>
      <c r="AN238" s="265"/>
      <c r="AO238" s="265"/>
      <c r="AP238" s="265"/>
      <c r="AQ238" s="265"/>
      <c r="AR238" s="265"/>
      <c r="AS238" s="265"/>
      <c r="AT238" s="265"/>
      <c r="AU238" s="265"/>
      <c r="AV238" s="265"/>
      <c r="AW238" s="265"/>
      <c r="AX238" s="265"/>
      <c r="AY238" s="265"/>
      <c r="AZ238" s="265"/>
      <c r="BA238" s="265"/>
      <c r="BB238" s="265"/>
      <c r="BC238" s="265"/>
      <c r="BD238" s="265"/>
      <c r="BE238" s="265"/>
      <c r="BF238" s="265"/>
      <c r="BG238" s="265"/>
    </row>
    <row r="239" spans="1:59" s="3" customFormat="1" ht="15.75" x14ac:dyDescent="0.25">
      <c r="A239" s="24"/>
      <c r="B239" s="25"/>
      <c r="C239" s="57"/>
      <c r="D239" s="66"/>
      <c r="E239" s="66"/>
      <c r="F239" s="130"/>
      <c r="G239" s="231"/>
      <c r="H239" s="237"/>
      <c r="I239" s="251"/>
      <c r="J239" s="251"/>
      <c r="K239" s="265"/>
      <c r="L239" s="265"/>
      <c r="M239" s="265"/>
      <c r="N239" s="265"/>
      <c r="O239" s="265"/>
      <c r="P239" s="265"/>
      <c r="Q239" s="265"/>
      <c r="R239" s="265"/>
      <c r="S239" s="265"/>
      <c r="T239" s="265"/>
      <c r="U239" s="265"/>
      <c r="V239" s="265"/>
      <c r="W239" s="265"/>
      <c r="X239" s="265"/>
      <c r="Y239" s="265"/>
      <c r="Z239" s="265"/>
      <c r="AA239" s="265"/>
      <c r="AB239" s="265"/>
      <c r="AC239" s="265"/>
      <c r="AD239" s="265"/>
      <c r="AE239" s="265"/>
      <c r="AF239" s="265"/>
      <c r="AG239" s="265"/>
      <c r="AH239" s="265"/>
      <c r="AI239" s="265"/>
      <c r="AJ239" s="265"/>
      <c r="AK239" s="265"/>
      <c r="AL239" s="265"/>
      <c r="AM239" s="265"/>
      <c r="AN239" s="265"/>
      <c r="AO239" s="265"/>
      <c r="AP239" s="265"/>
      <c r="AQ239" s="265"/>
      <c r="AR239" s="265"/>
      <c r="AS239" s="265"/>
      <c r="AT239" s="265"/>
      <c r="AU239" s="265"/>
      <c r="AV239" s="265"/>
      <c r="AW239" s="265"/>
      <c r="AX239" s="265"/>
      <c r="AY239" s="265"/>
      <c r="AZ239" s="265"/>
      <c r="BA239" s="265"/>
      <c r="BB239" s="265"/>
      <c r="BC239" s="265"/>
      <c r="BD239" s="265"/>
      <c r="BE239" s="265"/>
      <c r="BF239" s="265"/>
      <c r="BG239" s="265"/>
    </row>
    <row r="240" spans="1:59" s="3" customFormat="1" x14ac:dyDescent="0.2">
      <c r="A240" s="8">
        <v>3745</v>
      </c>
      <c r="B240" s="45">
        <v>5137</v>
      </c>
      <c r="C240" s="62" t="s">
        <v>36</v>
      </c>
      <c r="D240" s="66">
        <v>20</v>
      </c>
      <c r="E240" s="66">
        <v>20</v>
      </c>
      <c r="F240" s="129">
        <v>9643.7000000000007</v>
      </c>
      <c r="G240" s="231">
        <v>20</v>
      </c>
      <c r="H240" s="237"/>
      <c r="I240" s="251"/>
      <c r="J240" s="251"/>
      <c r="K240" s="265"/>
      <c r="L240" s="265"/>
      <c r="M240" s="265"/>
      <c r="N240" s="265"/>
      <c r="O240" s="265"/>
      <c r="P240" s="265"/>
      <c r="Q240" s="265"/>
      <c r="R240" s="265"/>
      <c r="S240" s="265"/>
      <c r="T240" s="265"/>
      <c r="U240" s="265"/>
      <c r="V240" s="265"/>
      <c r="W240" s="265"/>
      <c r="X240" s="265"/>
      <c r="Y240" s="265"/>
      <c r="Z240" s="265"/>
      <c r="AA240" s="265"/>
      <c r="AB240" s="265"/>
      <c r="AC240" s="265"/>
      <c r="AD240" s="265"/>
      <c r="AE240" s="265"/>
      <c r="AF240" s="265"/>
      <c r="AG240" s="265"/>
      <c r="AH240" s="265"/>
      <c r="AI240" s="265"/>
      <c r="AJ240" s="265"/>
      <c r="AK240" s="265"/>
      <c r="AL240" s="265"/>
      <c r="AM240" s="265"/>
      <c r="AN240" s="265"/>
      <c r="AO240" s="265"/>
      <c r="AP240" s="265"/>
      <c r="AQ240" s="265"/>
      <c r="AR240" s="265"/>
      <c r="AS240" s="265"/>
      <c r="AT240" s="265"/>
      <c r="AU240" s="265"/>
      <c r="AV240" s="265"/>
      <c r="AW240" s="265"/>
      <c r="AX240" s="265"/>
      <c r="AY240" s="265"/>
      <c r="AZ240" s="265"/>
      <c r="BA240" s="265"/>
      <c r="BB240" s="265"/>
      <c r="BC240" s="265"/>
      <c r="BD240" s="265"/>
      <c r="BE240" s="265"/>
      <c r="BF240" s="265"/>
      <c r="BG240" s="265"/>
    </row>
    <row r="241" spans="1:59" s="3" customFormat="1" x14ac:dyDescent="0.2">
      <c r="A241" s="47">
        <v>3745</v>
      </c>
      <c r="B241" s="48">
        <v>5139</v>
      </c>
      <c r="C241" s="46" t="s">
        <v>55</v>
      </c>
      <c r="D241" s="66">
        <v>100</v>
      </c>
      <c r="E241" s="66">
        <v>100</v>
      </c>
      <c r="F241" s="129">
        <v>15082.59</v>
      </c>
      <c r="G241" s="231">
        <v>100</v>
      </c>
      <c r="H241" s="237"/>
      <c r="I241" s="251"/>
      <c r="J241" s="251"/>
      <c r="K241" s="265"/>
      <c r="L241" s="265"/>
      <c r="M241" s="265"/>
      <c r="N241" s="265"/>
      <c r="O241" s="265"/>
      <c r="P241" s="265"/>
      <c r="Q241" s="265"/>
      <c r="R241" s="265"/>
      <c r="S241" s="265"/>
      <c r="T241" s="265"/>
      <c r="U241" s="265"/>
      <c r="V241" s="265"/>
      <c r="W241" s="265"/>
      <c r="X241" s="265"/>
      <c r="Y241" s="265"/>
      <c r="Z241" s="265"/>
      <c r="AA241" s="265"/>
      <c r="AB241" s="265"/>
      <c r="AC241" s="265"/>
      <c r="AD241" s="265"/>
      <c r="AE241" s="265"/>
      <c r="AF241" s="265"/>
      <c r="AG241" s="265"/>
      <c r="AH241" s="265"/>
      <c r="AI241" s="265"/>
      <c r="AJ241" s="265"/>
      <c r="AK241" s="265"/>
      <c r="AL241" s="265"/>
      <c r="AM241" s="265"/>
      <c r="AN241" s="265"/>
      <c r="AO241" s="265"/>
      <c r="AP241" s="265"/>
      <c r="AQ241" s="265"/>
      <c r="AR241" s="265"/>
      <c r="AS241" s="265"/>
      <c r="AT241" s="265"/>
      <c r="AU241" s="265"/>
      <c r="AV241" s="265"/>
      <c r="AW241" s="265"/>
      <c r="AX241" s="265"/>
      <c r="AY241" s="265"/>
      <c r="AZ241" s="265"/>
      <c r="BA241" s="265"/>
      <c r="BB241" s="265"/>
      <c r="BC241" s="265"/>
      <c r="BD241" s="265"/>
      <c r="BE241" s="265"/>
      <c r="BF241" s="265"/>
      <c r="BG241" s="265"/>
    </row>
    <row r="242" spans="1:59" s="3" customFormat="1" x14ac:dyDescent="0.2">
      <c r="A242" s="47">
        <v>3745</v>
      </c>
      <c r="B242" s="48">
        <v>5169</v>
      </c>
      <c r="C242" s="46" t="s">
        <v>135</v>
      </c>
      <c r="D242" s="66"/>
      <c r="E242" s="66"/>
      <c r="F242" s="129"/>
      <c r="G242" s="231"/>
      <c r="H242" s="237"/>
      <c r="I242" s="251"/>
      <c r="J242" s="251"/>
      <c r="K242" s="265"/>
      <c r="L242" s="265"/>
      <c r="M242" s="265"/>
      <c r="N242" s="265"/>
      <c r="O242" s="265"/>
      <c r="P242" s="265"/>
      <c r="Q242" s="265"/>
      <c r="R242" s="265"/>
      <c r="S242" s="265"/>
      <c r="T242" s="265"/>
      <c r="U242" s="265"/>
      <c r="V242" s="265"/>
      <c r="W242" s="265"/>
      <c r="X242" s="265"/>
      <c r="Y242" s="265"/>
      <c r="Z242" s="265"/>
      <c r="AA242" s="265"/>
      <c r="AB242" s="265"/>
      <c r="AC242" s="265"/>
      <c r="AD242" s="265"/>
      <c r="AE242" s="265"/>
      <c r="AF242" s="265"/>
      <c r="AG242" s="265"/>
      <c r="AH242" s="265"/>
      <c r="AI242" s="265"/>
      <c r="AJ242" s="265"/>
      <c r="AK242" s="265"/>
      <c r="AL242" s="265"/>
      <c r="AM242" s="265"/>
      <c r="AN242" s="265"/>
      <c r="AO242" s="265"/>
      <c r="AP242" s="265"/>
      <c r="AQ242" s="265"/>
      <c r="AR242" s="265"/>
      <c r="AS242" s="265"/>
      <c r="AT242" s="265"/>
      <c r="AU242" s="265"/>
      <c r="AV242" s="265"/>
      <c r="AW242" s="265"/>
      <c r="AX242" s="265"/>
      <c r="AY242" s="265"/>
      <c r="AZ242" s="265"/>
      <c r="BA242" s="265"/>
      <c r="BB242" s="265"/>
      <c r="BC242" s="265"/>
      <c r="BD242" s="265"/>
      <c r="BE242" s="265"/>
      <c r="BF242" s="265"/>
      <c r="BG242" s="265"/>
    </row>
    <row r="243" spans="1:59" s="3" customFormat="1" x14ac:dyDescent="0.2">
      <c r="A243" s="47">
        <v>3745</v>
      </c>
      <c r="B243" s="48">
        <v>5169</v>
      </c>
      <c r="C243" s="46" t="s">
        <v>178</v>
      </c>
      <c r="D243" s="66">
        <v>3855</v>
      </c>
      <c r="E243" s="66">
        <v>3855</v>
      </c>
      <c r="F243" s="129">
        <v>3359548.22</v>
      </c>
      <c r="G243" s="231">
        <v>4600</v>
      </c>
      <c r="H243" s="237"/>
      <c r="I243" s="251"/>
      <c r="J243" s="251"/>
      <c r="K243" s="265"/>
      <c r="L243" s="265"/>
      <c r="M243" s="265"/>
      <c r="N243" s="265"/>
      <c r="O243" s="265"/>
      <c r="P243" s="265"/>
      <c r="Q243" s="265"/>
      <c r="R243" s="265"/>
      <c r="S243" s="265"/>
      <c r="T243" s="265"/>
      <c r="U243" s="265"/>
      <c r="V243" s="265"/>
      <c r="W243" s="265"/>
      <c r="X243" s="265"/>
      <c r="Y243" s="265"/>
      <c r="Z243" s="265"/>
      <c r="AA243" s="265"/>
      <c r="AB243" s="265"/>
      <c r="AC243" s="265"/>
      <c r="AD243" s="265"/>
      <c r="AE243" s="265"/>
      <c r="AF243" s="265"/>
      <c r="AG243" s="265"/>
      <c r="AH243" s="265"/>
      <c r="AI243" s="265"/>
      <c r="AJ243" s="265"/>
      <c r="AK243" s="265"/>
      <c r="AL243" s="265"/>
      <c r="AM243" s="265"/>
      <c r="AN243" s="265"/>
      <c r="AO243" s="265"/>
      <c r="AP243" s="265"/>
      <c r="AQ243" s="265"/>
      <c r="AR243" s="265"/>
      <c r="AS243" s="265"/>
      <c r="AT243" s="265"/>
      <c r="AU243" s="265"/>
      <c r="AV243" s="265"/>
      <c r="AW243" s="265"/>
      <c r="AX243" s="265"/>
      <c r="AY243" s="265"/>
      <c r="AZ243" s="265"/>
      <c r="BA243" s="265"/>
      <c r="BB243" s="265"/>
      <c r="BC243" s="265"/>
      <c r="BD243" s="265"/>
      <c r="BE243" s="265"/>
      <c r="BF243" s="265"/>
      <c r="BG243" s="265"/>
    </row>
    <row r="244" spans="1:59" s="3" customFormat="1" ht="30" x14ac:dyDescent="0.2">
      <c r="A244" s="47">
        <v>3745</v>
      </c>
      <c r="B244" s="48">
        <v>5169</v>
      </c>
      <c r="C244" s="58" t="s">
        <v>342</v>
      </c>
      <c r="D244" s="66">
        <v>0</v>
      </c>
      <c r="E244" s="66">
        <v>145.9</v>
      </c>
      <c r="F244" s="129">
        <v>100000</v>
      </c>
      <c r="G244" s="231">
        <v>0</v>
      </c>
      <c r="H244" s="237"/>
      <c r="I244" s="251"/>
      <c r="J244" s="251"/>
      <c r="K244" s="265"/>
      <c r="L244" s="265"/>
      <c r="M244" s="265"/>
      <c r="N244" s="265"/>
      <c r="O244" s="265"/>
      <c r="P244" s="265"/>
      <c r="Q244" s="265"/>
      <c r="R244" s="265"/>
      <c r="S244" s="265"/>
      <c r="T244" s="265"/>
      <c r="U244" s="265"/>
      <c r="V244" s="265"/>
      <c r="W244" s="265"/>
      <c r="X244" s="265"/>
      <c r="Y244" s="265"/>
      <c r="Z244" s="265"/>
      <c r="AA244" s="265"/>
      <c r="AB244" s="265"/>
      <c r="AC244" s="265"/>
      <c r="AD244" s="265"/>
      <c r="AE244" s="265"/>
      <c r="AF244" s="265"/>
      <c r="AG244" s="265"/>
      <c r="AH244" s="265"/>
      <c r="AI244" s="265"/>
      <c r="AJ244" s="265"/>
      <c r="AK244" s="265"/>
      <c r="AL244" s="265"/>
      <c r="AM244" s="265"/>
      <c r="AN244" s="265"/>
      <c r="AO244" s="265"/>
      <c r="AP244" s="265"/>
      <c r="AQ244" s="265"/>
      <c r="AR244" s="265"/>
      <c r="AS244" s="265"/>
      <c r="AT244" s="265"/>
      <c r="AU244" s="265"/>
      <c r="AV244" s="265"/>
      <c r="AW244" s="265"/>
      <c r="AX244" s="265"/>
      <c r="AY244" s="265"/>
      <c r="AZ244" s="265"/>
      <c r="BA244" s="265"/>
      <c r="BB244" s="265"/>
      <c r="BC244" s="265"/>
      <c r="BD244" s="265"/>
      <c r="BE244" s="265"/>
      <c r="BF244" s="265"/>
      <c r="BG244" s="265"/>
    </row>
    <row r="245" spans="1:59" s="3" customFormat="1" x14ac:dyDescent="0.2">
      <c r="A245" s="47">
        <v>3745</v>
      </c>
      <c r="B245" s="48">
        <v>5171</v>
      </c>
      <c r="C245" s="46" t="s">
        <v>78</v>
      </c>
      <c r="D245" s="66">
        <v>30</v>
      </c>
      <c r="E245" s="66">
        <v>30</v>
      </c>
      <c r="F245" s="129">
        <v>2401.85</v>
      </c>
      <c r="G245" s="231">
        <v>30</v>
      </c>
      <c r="H245" s="237"/>
      <c r="I245" s="251"/>
      <c r="J245" s="251"/>
      <c r="K245" s="265"/>
      <c r="L245" s="265"/>
      <c r="M245" s="265"/>
      <c r="N245" s="265"/>
      <c r="O245" s="265"/>
      <c r="P245" s="265"/>
      <c r="Q245" s="265"/>
      <c r="R245" s="265"/>
      <c r="S245" s="265"/>
      <c r="T245" s="265"/>
      <c r="U245" s="265"/>
      <c r="V245" s="265"/>
      <c r="W245" s="265"/>
      <c r="X245" s="265"/>
      <c r="Y245" s="265"/>
      <c r="Z245" s="265"/>
      <c r="AA245" s="265"/>
      <c r="AB245" s="265"/>
      <c r="AC245" s="265"/>
      <c r="AD245" s="265"/>
      <c r="AE245" s="265"/>
      <c r="AF245" s="265"/>
      <c r="AG245" s="265"/>
      <c r="AH245" s="265"/>
      <c r="AI245" s="265"/>
      <c r="AJ245" s="265"/>
      <c r="AK245" s="265"/>
      <c r="AL245" s="265"/>
      <c r="AM245" s="265"/>
      <c r="AN245" s="265"/>
      <c r="AO245" s="265"/>
      <c r="AP245" s="265"/>
      <c r="AQ245" s="265"/>
      <c r="AR245" s="265"/>
      <c r="AS245" s="265"/>
      <c r="AT245" s="265"/>
      <c r="AU245" s="265"/>
      <c r="AV245" s="265"/>
      <c r="AW245" s="265"/>
      <c r="AX245" s="265"/>
      <c r="AY245" s="265"/>
      <c r="AZ245" s="265"/>
      <c r="BA245" s="265"/>
      <c r="BB245" s="265"/>
      <c r="BC245" s="265"/>
      <c r="BD245" s="265"/>
      <c r="BE245" s="265"/>
      <c r="BF245" s="265"/>
      <c r="BG245" s="265"/>
    </row>
    <row r="246" spans="1:59" s="3" customFormat="1" ht="30" x14ac:dyDescent="0.2">
      <c r="A246" s="122">
        <v>3745</v>
      </c>
      <c r="B246" s="155">
        <v>6121</v>
      </c>
      <c r="C246" s="89" t="s">
        <v>257</v>
      </c>
      <c r="D246" s="103">
        <v>221</v>
      </c>
      <c r="E246" s="103">
        <v>221</v>
      </c>
      <c r="F246" s="134">
        <v>0</v>
      </c>
      <c r="G246" s="232">
        <v>0</v>
      </c>
      <c r="H246" s="237"/>
      <c r="I246" s="251"/>
      <c r="J246" s="251"/>
      <c r="K246" s="265"/>
      <c r="L246" s="265"/>
      <c r="M246" s="265"/>
      <c r="N246" s="265"/>
      <c r="O246" s="265"/>
      <c r="P246" s="265"/>
      <c r="Q246" s="265"/>
      <c r="R246" s="265"/>
      <c r="S246" s="265"/>
      <c r="T246" s="265"/>
      <c r="U246" s="265"/>
      <c r="V246" s="265"/>
      <c r="W246" s="265"/>
      <c r="X246" s="265"/>
      <c r="Y246" s="265"/>
      <c r="Z246" s="265"/>
      <c r="AA246" s="265"/>
      <c r="AB246" s="265"/>
      <c r="AC246" s="265"/>
      <c r="AD246" s="265"/>
      <c r="AE246" s="265"/>
      <c r="AF246" s="265"/>
      <c r="AG246" s="265"/>
      <c r="AH246" s="265"/>
      <c r="AI246" s="265"/>
      <c r="AJ246" s="265"/>
      <c r="AK246" s="265"/>
      <c r="AL246" s="265"/>
      <c r="AM246" s="265"/>
      <c r="AN246" s="265"/>
      <c r="AO246" s="265"/>
      <c r="AP246" s="265"/>
      <c r="AQ246" s="265"/>
      <c r="AR246" s="265"/>
      <c r="AS246" s="265"/>
      <c r="AT246" s="265"/>
      <c r="AU246" s="265"/>
      <c r="AV246" s="265"/>
      <c r="AW246" s="265"/>
      <c r="AX246" s="265"/>
      <c r="AY246" s="265"/>
      <c r="AZ246" s="265"/>
      <c r="BA246" s="265"/>
      <c r="BB246" s="265"/>
      <c r="BC246" s="265"/>
      <c r="BD246" s="265"/>
      <c r="BE246" s="265"/>
      <c r="BF246" s="265"/>
      <c r="BG246" s="265"/>
    </row>
    <row r="247" spans="1:59" s="3" customFormat="1" x14ac:dyDescent="0.2">
      <c r="A247" s="122">
        <v>3745</v>
      </c>
      <c r="B247" s="155" t="s">
        <v>283</v>
      </c>
      <c r="C247" s="89" t="s">
        <v>284</v>
      </c>
      <c r="D247" s="103">
        <v>0</v>
      </c>
      <c r="E247" s="103">
        <v>220.1</v>
      </c>
      <c r="F247" s="134">
        <v>88935</v>
      </c>
      <c r="G247" s="232">
        <v>0</v>
      </c>
      <c r="H247" s="237"/>
      <c r="I247" s="251"/>
      <c r="J247" s="251"/>
      <c r="K247" s="265"/>
      <c r="L247" s="265"/>
      <c r="M247" s="265"/>
      <c r="N247" s="265"/>
      <c r="O247" s="265"/>
      <c r="P247" s="265"/>
      <c r="Q247" s="265"/>
      <c r="R247" s="265"/>
      <c r="S247" s="265"/>
      <c r="T247" s="265"/>
      <c r="U247" s="265"/>
      <c r="V247" s="265"/>
      <c r="W247" s="265"/>
      <c r="X247" s="265"/>
      <c r="Y247" s="265"/>
      <c r="Z247" s="265"/>
      <c r="AA247" s="265"/>
      <c r="AB247" s="265"/>
      <c r="AC247" s="265"/>
      <c r="AD247" s="265"/>
      <c r="AE247" s="265"/>
      <c r="AF247" s="265"/>
      <c r="AG247" s="265"/>
      <c r="AH247" s="265"/>
      <c r="AI247" s="265"/>
      <c r="AJ247" s="265"/>
      <c r="AK247" s="265"/>
      <c r="AL247" s="265"/>
      <c r="AM247" s="265"/>
      <c r="AN247" s="265"/>
      <c r="AO247" s="265"/>
      <c r="AP247" s="265"/>
      <c r="AQ247" s="265"/>
      <c r="AR247" s="265"/>
      <c r="AS247" s="265"/>
      <c r="AT247" s="265"/>
      <c r="AU247" s="265"/>
      <c r="AV247" s="265"/>
      <c r="AW247" s="265"/>
      <c r="AX247" s="265"/>
      <c r="AY247" s="265"/>
      <c r="AZ247" s="265"/>
      <c r="BA247" s="265"/>
      <c r="BB247" s="265"/>
      <c r="BC247" s="265"/>
      <c r="BD247" s="265"/>
      <c r="BE247" s="265"/>
      <c r="BF247" s="265"/>
      <c r="BG247" s="265"/>
    </row>
    <row r="248" spans="1:59" s="3" customFormat="1" ht="15.75" x14ac:dyDescent="0.25">
      <c r="A248" s="24">
        <v>3745</v>
      </c>
      <c r="B248" s="25"/>
      <c r="C248" s="57" t="s">
        <v>25</v>
      </c>
      <c r="D248" s="67">
        <f>SUM(D240:D247)</f>
        <v>4226</v>
      </c>
      <c r="E248" s="67">
        <f>SUM(E240:E247)</f>
        <v>4592</v>
      </c>
      <c r="F248" s="130">
        <f>SUM(F240:F247)</f>
        <v>3575611.3600000003</v>
      </c>
      <c r="G248" s="233">
        <f>SUM(G240:G247)</f>
        <v>4750</v>
      </c>
      <c r="H248" s="239">
        <f>G248</f>
        <v>4750</v>
      </c>
      <c r="I248" s="251"/>
      <c r="J248" s="251"/>
      <c r="K248" s="265"/>
      <c r="L248" s="265"/>
      <c r="M248" s="265"/>
      <c r="N248" s="265"/>
      <c r="O248" s="265"/>
      <c r="P248" s="265"/>
      <c r="Q248" s="265"/>
      <c r="R248" s="265"/>
      <c r="S248" s="265"/>
      <c r="T248" s="265"/>
      <c r="U248" s="265"/>
      <c r="V248" s="265"/>
      <c r="W248" s="265"/>
      <c r="X248" s="265"/>
      <c r="Y248" s="265"/>
      <c r="Z248" s="265"/>
      <c r="AA248" s="265"/>
      <c r="AB248" s="265"/>
      <c r="AC248" s="265"/>
      <c r="AD248" s="265"/>
      <c r="AE248" s="265"/>
      <c r="AF248" s="265"/>
      <c r="AG248" s="265"/>
      <c r="AH248" s="265"/>
      <c r="AI248" s="265"/>
      <c r="AJ248" s="265"/>
      <c r="AK248" s="265"/>
      <c r="AL248" s="265"/>
      <c r="AM248" s="265"/>
      <c r="AN248" s="265"/>
      <c r="AO248" s="265"/>
      <c r="AP248" s="265"/>
      <c r="AQ248" s="265"/>
      <c r="AR248" s="265"/>
      <c r="AS248" s="265"/>
      <c r="AT248" s="265"/>
      <c r="AU248" s="265"/>
      <c r="AV248" s="265"/>
      <c r="AW248" s="265"/>
      <c r="AX248" s="265"/>
      <c r="AY248" s="265"/>
      <c r="AZ248" s="265"/>
      <c r="BA248" s="265"/>
      <c r="BB248" s="265"/>
      <c r="BC248" s="265"/>
      <c r="BD248" s="265"/>
      <c r="BE248" s="265"/>
      <c r="BF248" s="265"/>
      <c r="BG248" s="265"/>
    </row>
    <row r="249" spans="1:59" s="3" customFormat="1" ht="15.75" x14ac:dyDescent="0.25">
      <c r="A249" s="8"/>
      <c r="B249" s="10"/>
      <c r="C249" s="58"/>
      <c r="D249" s="66"/>
      <c r="E249" s="66"/>
      <c r="F249" s="130"/>
      <c r="G249" s="231"/>
      <c r="H249" s="237"/>
      <c r="I249" s="251"/>
      <c r="J249" s="251"/>
      <c r="K249" s="265"/>
      <c r="L249" s="265"/>
      <c r="M249" s="265"/>
      <c r="N249" s="265"/>
      <c r="O249" s="265"/>
      <c r="P249" s="265"/>
      <c r="Q249" s="265"/>
      <c r="R249" s="265"/>
      <c r="S249" s="265"/>
      <c r="T249" s="265"/>
      <c r="U249" s="265"/>
      <c r="V249" s="265"/>
      <c r="W249" s="265"/>
      <c r="X249" s="265"/>
      <c r="Y249" s="265"/>
      <c r="Z249" s="265"/>
      <c r="AA249" s="265"/>
      <c r="AB249" s="265"/>
      <c r="AC249" s="265"/>
      <c r="AD249" s="265"/>
      <c r="AE249" s="265"/>
      <c r="AF249" s="265"/>
      <c r="AG249" s="265"/>
      <c r="AH249" s="265"/>
      <c r="AI249" s="265"/>
      <c r="AJ249" s="265"/>
      <c r="AK249" s="265"/>
      <c r="AL249" s="265"/>
      <c r="AM249" s="265"/>
      <c r="AN249" s="265"/>
      <c r="AO249" s="265"/>
      <c r="AP249" s="265"/>
      <c r="AQ249" s="265"/>
      <c r="AR249" s="265"/>
      <c r="AS249" s="265"/>
      <c r="AT249" s="265"/>
      <c r="AU249" s="265"/>
      <c r="AV249" s="265"/>
      <c r="AW249" s="265"/>
      <c r="AX249" s="265"/>
      <c r="AY249" s="265"/>
      <c r="AZ249" s="265"/>
      <c r="BA249" s="265"/>
      <c r="BB249" s="265"/>
      <c r="BC249" s="265"/>
      <c r="BD249" s="265"/>
      <c r="BE249" s="265"/>
      <c r="BF249" s="265"/>
      <c r="BG249" s="265"/>
    </row>
    <row r="250" spans="1:59" s="3" customFormat="1" x14ac:dyDescent="0.2">
      <c r="A250" s="8">
        <v>3900</v>
      </c>
      <c r="B250" s="45">
        <v>5161</v>
      </c>
      <c r="C250" s="62" t="s">
        <v>61</v>
      </c>
      <c r="D250" s="66">
        <v>5</v>
      </c>
      <c r="E250" s="66">
        <v>5</v>
      </c>
      <c r="F250" s="129">
        <v>0</v>
      </c>
      <c r="G250" s="231">
        <v>5</v>
      </c>
      <c r="H250" s="237"/>
      <c r="I250" s="251"/>
      <c r="J250" s="251"/>
      <c r="K250" s="265"/>
      <c r="L250" s="265"/>
      <c r="M250" s="265"/>
      <c r="N250" s="265"/>
      <c r="O250" s="265"/>
      <c r="P250" s="265"/>
      <c r="Q250" s="265"/>
      <c r="R250" s="265"/>
      <c r="S250" s="265"/>
      <c r="T250" s="265"/>
      <c r="U250" s="265"/>
      <c r="V250" s="265"/>
      <c r="W250" s="265"/>
      <c r="X250" s="265"/>
      <c r="Y250" s="265"/>
      <c r="Z250" s="265"/>
      <c r="AA250" s="265"/>
      <c r="AB250" s="265"/>
      <c r="AC250" s="265"/>
      <c r="AD250" s="265"/>
      <c r="AE250" s="265"/>
      <c r="AF250" s="265"/>
      <c r="AG250" s="265"/>
      <c r="AH250" s="265"/>
      <c r="AI250" s="265"/>
      <c r="AJ250" s="265"/>
      <c r="AK250" s="265"/>
      <c r="AL250" s="265"/>
      <c r="AM250" s="265"/>
      <c r="AN250" s="265"/>
      <c r="AO250" s="265"/>
      <c r="AP250" s="265"/>
      <c r="AQ250" s="265"/>
      <c r="AR250" s="265"/>
      <c r="AS250" s="265"/>
      <c r="AT250" s="265"/>
      <c r="AU250" s="265"/>
      <c r="AV250" s="265"/>
      <c r="AW250" s="265"/>
      <c r="AX250" s="265"/>
      <c r="AY250" s="265"/>
      <c r="AZ250" s="265"/>
      <c r="BA250" s="265"/>
      <c r="BB250" s="265"/>
      <c r="BC250" s="265"/>
      <c r="BD250" s="265"/>
      <c r="BE250" s="265"/>
      <c r="BF250" s="265"/>
      <c r="BG250" s="265"/>
    </row>
    <row r="251" spans="1:59" s="3" customFormat="1" x14ac:dyDescent="0.2">
      <c r="A251" s="47">
        <v>3900</v>
      </c>
      <c r="B251" s="48">
        <v>5194</v>
      </c>
      <c r="C251" s="46" t="s">
        <v>158</v>
      </c>
      <c r="D251" s="66">
        <v>5</v>
      </c>
      <c r="E251" s="66">
        <v>5</v>
      </c>
      <c r="F251" s="129">
        <v>300</v>
      </c>
      <c r="G251" s="231">
        <v>5</v>
      </c>
      <c r="H251" s="237"/>
      <c r="I251" s="251"/>
      <c r="J251" s="251"/>
      <c r="K251" s="265"/>
      <c r="L251" s="265"/>
      <c r="M251" s="265"/>
      <c r="N251" s="265"/>
      <c r="O251" s="265"/>
      <c r="P251" s="265"/>
      <c r="Q251" s="265"/>
      <c r="R251" s="265"/>
      <c r="S251" s="265"/>
      <c r="T251" s="265"/>
      <c r="U251" s="265"/>
      <c r="V251" s="265"/>
      <c r="W251" s="265"/>
      <c r="X251" s="265"/>
      <c r="Y251" s="265"/>
      <c r="Z251" s="265"/>
      <c r="AA251" s="265"/>
      <c r="AB251" s="265"/>
      <c r="AC251" s="265"/>
      <c r="AD251" s="265"/>
      <c r="AE251" s="265"/>
      <c r="AF251" s="265"/>
      <c r="AG251" s="265"/>
      <c r="AH251" s="265"/>
      <c r="AI251" s="265"/>
      <c r="AJ251" s="265"/>
      <c r="AK251" s="265"/>
      <c r="AL251" s="265"/>
      <c r="AM251" s="265"/>
      <c r="AN251" s="265"/>
      <c r="AO251" s="265"/>
      <c r="AP251" s="265"/>
      <c r="AQ251" s="265"/>
      <c r="AR251" s="265"/>
      <c r="AS251" s="265"/>
      <c r="AT251" s="265"/>
      <c r="AU251" s="265"/>
      <c r="AV251" s="265"/>
      <c r="AW251" s="265"/>
      <c r="AX251" s="265"/>
      <c r="AY251" s="265"/>
      <c r="AZ251" s="265"/>
      <c r="BA251" s="265"/>
      <c r="BB251" s="265"/>
      <c r="BC251" s="265"/>
      <c r="BD251" s="265"/>
      <c r="BE251" s="265"/>
      <c r="BF251" s="265"/>
      <c r="BG251" s="265"/>
    </row>
    <row r="252" spans="1:59" s="3" customFormat="1" x14ac:dyDescent="0.2">
      <c r="A252" s="47">
        <v>3900</v>
      </c>
      <c r="B252" s="48">
        <v>5221</v>
      </c>
      <c r="C252" s="46" t="s">
        <v>321</v>
      </c>
      <c r="D252" s="66">
        <v>30</v>
      </c>
      <c r="E252" s="66">
        <f>20+10</f>
        <v>30</v>
      </c>
      <c r="F252" s="129">
        <v>30000</v>
      </c>
      <c r="G252" s="231">
        <v>30</v>
      </c>
      <c r="H252" s="237"/>
      <c r="I252" s="251"/>
      <c r="J252" s="251"/>
      <c r="K252" s="265"/>
      <c r="L252" s="265"/>
      <c r="M252" s="265"/>
      <c r="N252" s="265"/>
      <c r="O252" s="265"/>
      <c r="P252" s="265"/>
      <c r="Q252" s="265"/>
      <c r="R252" s="265"/>
      <c r="S252" s="265"/>
      <c r="T252" s="265"/>
      <c r="U252" s="265"/>
      <c r="V252" s="265"/>
      <c r="W252" s="265"/>
      <c r="X252" s="265"/>
      <c r="Y252" s="265"/>
      <c r="Z252" s="265"/>
      <c r="AA252" s="265"/>
      <c r="AB252" s="265"/>
      <c r="AC252" s="265"/>
      <c r="AD252" s="265"/>
      <c r="AE252" s="265"/>
      <c r="AF252" s="265"/>
      <c r="AG252" s="265"/>
      <c r="AH252" s="265"/>
      <c r="AI252" s="265"/>
      <c r="AJ252" s="265"/>
      <c r="AK252" s="265"/>
      <c r="AL252" s="265"/>
      <c r="AM252" s="265"/>
      <c r="AN252" s="265"/>
      <c r="AO252" s="265"/>
      <c r="AP252" s="265"/>
      <c r="AQ252" s="265"/>
      <c r="AR252" s="265"/>
      <c r="AS252" s="265"/>
      <c r="AT252" s="265"/>
      <c r="AU252" s="265"/>
      <c r="AV252" s="265"/>
      <c r="AW252" s="265"/>
      <c r="AX252" s="265"/>
      <c r="AY252" s="265"/>
      <c r="AZ252" s="265"/>
      <c r="BA252" s="265"/>
      <c r="BB252" s="265"/>
      <c r="BC252" s="265"/>
      <c r="BD252" s="265"/>
      <c r="BE252" s="265"/>
      <c r="BF252" s="265"/>
      <c r="BG252" s="265"/>
    </row>
    <row r="253" spans="1:59" s="3" customFormat="1" x14ac:dyDescent="0.2">
      <c r="A253" s="47">
        <v>3900</v>
      </c>
      <c r="B253" s="48">
        <v>5222</v>
      </c>
      <c r="C253" s="46" t="s">
        <v>133</v>
      </c>
      <c r="D253" s="66">
        <v>10</v>
      </c>
      <c r="E253" s="66">
        <v>10</v>
      </c>
      <c r="F253" s="129">
        <v>0</v>
      </c>
      <c r="G253" s="231">
        <v>10</v>
      </c>
      <c r="H253" s="237"/>
      <c r="I253" s="251"/>
      <c r="J253" s="251"/>
      <c r="K253" s="265"/>
      <c r="L253" s="265"/>
      <c r="M253" s="265"/>
      <c r="N253" s="265"/>
      <c r="O253" s="265"/>
      <c r="P253" s="265"/>
      <c r="Q253" s="265"/>
      <c r="R253" s="265"/>
      <c r="S253" s="265"/>
      <c r="T253" s="265"/>
      <c r="U253" s="265"/>
      <c r="V253" s="265"/>
      <c r="W253" s="265"/>
      <c r="X253" s="265"/>
      <c r="Y253" s="265"/>
      <c r="Z253" s="265"/>
      <c r="AA253" s="265"/>
      <c r="AB253" s="265"/>
      <c r="AC253" s="265"/>
      <c r="AD253" s="265"/>
      <c r="AE253" s="265"/>
      <c r="AF253" s="265"/>
      <c r="AG253" s="265"/>
      <c r="AH253" s="265"/>
      <c r="AI253" s="265"/>
      <c r="AJ253" s="265"/>
      <c r="AK253" s="265"/>
      <c r="AL253" s="265"/>
      <c r="AM253" s="265"/>
      <c r="AN253" s="265"/>
      <c r="AO253" s="265"/>
      <c r="AP253" s="265"/>
      <c r="AQ253" s="265"/>
      <c r="AR253" s="265"/>
      <c r="AS253" s="265"/>
      <c r="AT253" s="265"/>
      <c r="AU253" s="265"/>
      <c r="AV253" s="265"/>
      <c r="AW253" s="265"/>
      <c r="AX253" s="265"/>
      <c r="AY253" s="265"/>
      <c r="AZ253" s="265"/>
      <c r="BA253" s="265"/>
      <c r="BB253" s="265"/>
      <c r="BC253" s="265"/>
      <c r="BD253" s="265"/>
      <c r="BE253" s="265"/>
      <c r="BF253" s="265"/>
      <c r="BG253" s="265"/>
    </row>
    <row r="254" spans="1:59" s="3" customFormat="1" x14ac:dyDescent="0.2">
      <c r="A254" s="47">
        <v>3900</v>
      </c>
      <c r="B254" s="48">
        <v>5492</v>
      </c>
      <c r="C254" s="46" t="s">
        <v>387</v>
      </c>
      <c r="D254" s="66"/>
      <c r="E254" s="66"/>
      <c r="F254" s="129"/>
      <c r="G254" s="231">
        <v>30</v>
      </c>
      <c r="H254" s="237"/>
      <c r="I254" s="251"/>
      <c r="J254" s="251"/>
      <c r="K254" s="265"/>
      <c r="L254" s="265"/>
      <c r="M254" s="265"/>
      <c r="N254" s="265"/>
      <c r="O254" s="265"/>
      <c r="P254" s="265"/>
      <c r="Q254" s="265"/>
      <c r="R254" s="265"/>
      <c r="S254" s="265"/>
      <c r="T254" s="265"/>
      <c r="U254" s="265"/>
      <c r="V254" s="265"/>
      <c r="W254" s="265"/>
      <c r="X254" s="265"/>
      <c r="Y254" s="265"/>
      <c r="Z254" s="265"/>
      <c r="AA254" s="265"/>
      <c r="AB254" s="265"/>
      <c r="AC254" s="265"/>
      <c r="AD254" s="265"/>
      <c r="AE254" s="265"/>
      <c r="AF254" s="265"/>
      <c r="AG254" s="265"/>
      <c r="AH254" s="265"/>
      <c r="AI254" s="265"/>
      <c r="AJ254" s="265"/>
      <c r="AK254" s="265"/>
      <c r="AL254" s="265"/>
      <c r="AM254" s="265"/>
      <c r="AN254" s="265"/>
      <c r="AO254" s="265"/>
      <c r="AP254" s="265"/>
      <c r="AQ254" s="265"/>
      <c r="AR254" s="265"/>
      <c r="AS254" s="265"/>
      <c r="AT254" s="265"/>
      <c r="AU254" s="265"/>
      <c r="AV254" s="265"/>
      <c r="AW254" s="265"/>
      <c r="AX254" s="265"/>
      <c r="AY254" s="265"/>
      <c r="AZ254" s="265"/>
      <c r="BA254" s="265"/>
      <c r="BB254" s="265"/>
      <c r="BC254" s="265"/>
      <c r="BD254" s="265"/>
      <c r="BE254" s="265"/>
      <c r="BF254" s="265"/>
      <c r="BG254" s="265"/>
    </row>
    <row r="255" spans="1:59" s="3" customFormat="1" x14ac:dyDescent="0.2">
      <c r="A255" s="47">
        <v>3900</v>
      </c>
      <c r="B255" s="48">
        <v>5499</v>
      </c>
      <c r="C255" s="46" t="s">
        <v>60</v>
      </c>
      <c r="D255" s="66">
        <v>100</v>
      </c>
      <c r="E255" s="66">
        <v>100</v>
      </c>
      <c r="F255" s="129">
        <v>74541</v>
      </c>
      <c r="G255" s="231">
        <v>100</v>
      </c>
      <c r="H255" s="237"/>
      <c r="I255" s="251"/>
      <c r="J255" s="251"/>
      <c r="K255" s="265"/>
      <c r="L255" s="265"/>
      <c r="M255" s="265"/>
      <c r="N255" s="265"/>
      <c r="O255" s="265"/>
      <c r="P255" s="265"/>
      <c r="Q255" s="265"/>
      <c r="R255" s="265"/>
      <c r="S255" s="265"/>
      <c r="T255" s="265"/>
      <c r="U255" s="265"/>
      <c r="V255" s="265"/>
      <c r="W255" s="265"/>
      <c r="X255" s="265"/>
      <c r="Y255" s="265"/>
      <c r="Z255" s="265"/>
      <c r="AA255" s="265"/>
      <c r="AB255" s="265"/>
      <c r="AC255" s="265"/>
      <c r="AD255" s="265"/>
      <c r="AE255" s="265"/>
      <c r="AF255" s="265"/>
      <c r="AG255" s="265"/>
      <c r="AH255" s="265"/>
      <c r="AI255" s="265"/>
      <c r="AJ255" s="265"/>
      <c r="AK255" s="265"/>
      <c r="AL255" s="265"/>
      <c r="AM255" s="265"/>
      <c r="AN255" s="265"/>
      <c r="AO255" s="265"/>
      <c r="AP255" s="265"/>
      <c r="AQ255" s="265"/>
      <c r="AR255" s="265"/>
      <c r="AS255" s="265"/>
      <c r="AT255" s="265"/>
      <c r="AU255" s="265"/>
      <c r="AV255" s="265"/>
      <c r="AW255" s="265"/>
      <c r="AX255" s="265"/>
      <c r="AY255" s="265"/>
      <c r="AZ255" s="265"/>
      <c r="BA255" s="265"/>
      <c r="BB255" s="265"/>
      <c r="BC255" s="265"/>
      <c r="BD255" s="265"/>
      <c r="BE255" s="265"/>
      <c r="BF255" s="265"/>
      <c r="BG255" s="265"/>
    </row>
    <row r="256" spans="1:59" s="3" customFormat="1" x14ac:dyDescent="0.2">
      <c r="A256" s="47">
        <v>3900</v>
      </c>
      <c r="B256" s="48">
        <v>5901</v>
      </c>
      <c r="C256" s="46" t="s">
        <v>289</v>
      </c>
      <c r="D256" s="66">
        <v>0</v>
      </c>
      <c r="E256" s="66">
        <v>60.5</v>
      </c>
      <c r="F256" s="129">
        <v>0</v>
      </c>
      <c r="G256" s="231">
        <v>0</v>
      </c>
      <c r="H256" s="237"/>
      <c r="I256" s="251"/>
      <c r="J256" s="251"/>
      <c r="K256" s="265"/>
      <c r="L256" s="265"/>
      <c r="M256" s="265"/>
      <c r="N256" s="265"/>
      <c r="O256" s="265"/>
      <c r="P256" s="265"/>
      <c r="Q256" s="265"/>
      <c r="R256" s="265"/>
      <c r="S256" s="265"/>
      <c r="T256" s="265"/>
      <c r="U256" s="265"/>
      <c r="V256" s="265"/>
      <c r="W256" s="265"/>
      <c r="X256" s="265"/>
      <c r="Y256" s="265"/>
      <c r="Z256" s="265"/>
      <c r="AA256" s="265"/>
      <c r="AB256" s="265"/>
      <c r="AC256" s="265"/>
      <c r="AD256" s="265"/>
      <c r="AE256" s="265"/>
      <c r="AF256" s="265"/>
      <c r="AG256" s="265"/>
      <c r="AH256" s="265"/>
      <c r="AI256" s="265"/>
      <c r="AJ256" s="265"/>
      <c r="AK256" s="265"/>
      <c r="AL256" s="265"/>
      <c r="AM256" s="265"/>
      <c r="AN256" s="265"/>
      <c r="AO256" s="265"/>
      <c r="AP256" s="265"/>
      <c r="AQ256" s="265"/>
      <c r="AR256" s="265"/>
      <c r="AS256" s="265"/>
      <c r="AT256" s="265"/>
      <c r="AU256" s="265"/>
      <c r="AV256" s="265"/>
      <c r="AW256" s="265"/>
      <c r="AX256" s="265"/>
      <c r="AY256" s="265"/>
      <c r="AZ256" s="265"/>
      <c r="BA256" s="265"/>
      <c r="BB256" s="265"/>
      <c r="BC256" s="265"/>
      <c r="BD256" s="265"/>
      <c r="BE256" s="265"/>
      <c r="BF256" s="265"/>
      <c r="BG256" s="265"/>
    </row>
    <row r="257" spans="1:59" s="3" customFormat="1" ht="15.75" x14ac:dyDescent="0.25">
      <c r="A257" s="27">
        <v>3900</v>
      </c>
      <c r="B257" s="28"/>
      <c r="C257" s="59" t="s">
        <v>160</v>
      </c>
      <c r="D257" s="67">
        <f>SUM(D250:D256)</f>
        <v>150</v>
      </c>
      <c r="E257" s="67">
        <f>SUM(E250:E256)</f>
        <v>210.5</v>
      </c>
      <c r="F257" s="133">
        <f>SUM(F250:F256)</f>
        <v>104841</v>
      </c>
      <c r="G257" s="233">
        <f>SUM(G250:G256)</f>
        <v>180</v>
      </c>
      <c r="H257" s="239">
        <f>G257</f>
        <v>180</v>
      </c>
      <c r="I257" s="251"/>
      <c r="J257" s="251"/>
      <c r="K257" s="265"/>
      <c r="L257" s="265"/>
      <c r="M257" s="265"/>
      <c r="N257" s="265"/>
      <c r="O257" s="265"/>
      <c r="P257" s="265"/>
      <c r="Q257" s="265"/>
      <c r="R257" s="265"/>
      <c r="S257" s="265"/>
      <c r="T257" s="265"/>
      <c r="U257" s="265"/>
      <c r="V257" s="265"/>
      <c r="W257" s="265"/>
      <c r="X257" s="265"/>
      <c r="Y257" s="265"/>
      <c r="Z257" s="265"/>
      <c r="AA257" s="265"/>
      <c r="AB257" s="265"/>
      <c r="AC257" s="265"/>
      <c r="AD257" s="265"/>
      <c r="AE257" s="265"/>
      <c r="AF257" s="265"/>
      <c r="AG257" s="265"/>
      <c r="AH257" s="265"/>
      <c r="AI257" s="265"/>
      <c r="AJ257" s="265"/>
      <c r="AK257" s="265"/>
      <c r="AL257" s="265"/>
      <c r="AM257" s="265"/>
      <c r="AN257" s="265"/>
      <c r="AO257" s="265"/>
      <c r="AP257" s="265"/>
      <c r="AQ257" s="265"/>
      <c r="AR257" s="265"/>
      <c r="AS257" s="265"/>
      <c r="AT257" s="265"/>
      <c r="AU257" s="265"/>
      <c r="AV257" s="265"/>
      <c r="AW257" s="265"/>
      <c r="AX257" s="265"/>
      <c r="AY257" s="265"/>
      <c r="AZ257" s="265"/>
      <c r="BA257" s="265"/>
      <c r="BB257" s="265"/>
      <c r="BC257" s="265"/>
      <c r="BD257" s="265"/>
      <c r="BE257" s="265"/>
      <c r="BF257" s="265"/>
      <c r="BG257" s="265"/>
    </row>
    <row r="258" spans="1:59" s="3" customFormat="1" ht="15.75" x14ac:dyDescent="0.25">
      <c r="A258" s="8"/>
      <c r="B258" s="10"/>
      <c r="C258" s="58"/>
      <c r="D258" s="66"/>
      <c r="E258" s="66"/>
      <c r="F258" s="130"/>
      <c r="G258" s="231"/>
      <c r="H258" s="237"/>
      <c r="I258" s="251"/>
      <c r="J258" s="251"/>
      <c r="K258" s="265"/>
      <c r="L258" s="265"/>
      <c r="M258" s="265"/>
      <c r="N258" s="265"/>
      <c r="O258" s="265"/>
      <c r="P258" s="265"/>
      <c r="Q258" s="265"/>
      <c r="R258" s="265"/>
      <c r="S258" s="265"/>
      <c r="T258" s="265"/>
      <c r="U258" s="265"/>
      <c r="V258" s="265"/>
      <c r="W258" s="265"/>
      <c r="X258" s="265"/>
      <c r="Y258" s="265"/>
      <c r="Z258" s="265"/>
      <c r="AA258" s="265"/>
      <c r="AB258" s="265"/>
      <c r="AC258" s="265"/>
      <c r="AD258" s="265"/>
      <c r="AE258" s="265"/>
      <c r="AF258" s="265"/>
      <c r="AG258" s="265"/>
      <c r="AH258" s="265"/>
      <c r="AI258" s="265"/>
      <c r="AJ258" s="265"/>
      <c r="AK258" s="265"/>
      <c r="AL258" s="265"/>
      <c r="AM258" s="265"/>
      <c r="AN258" s="265"/>
      <c r="AO258" s="265"/>
      <c r="AP258" s="265"/>
      <c r="AQ258" s="265"/>
      <c r="AR258" s="265"/>
      <c r="AS258" s="265"/>
      <c r="AT258" s="265"/>
      <c r="AU258" s="265"/>
      <c r="AV258" s="265"/>
      <c r="AW258" s="265"/>
      <c r="AX258" s="265"/>
      <c r="AY258" s="265"/>
      <c r="AZ258" s="265"/>
      <c r="BA258" s="265"/>
      <c r="BB258" s="265"/>
      <c r="BC258" s="265"/>
      <c r="BD258" s="265"/>
      <c r="BE258" s="265"/>
      <c r="BF258" s="265"/>
      <c r="BG258" s="265"/>
    </row>
    <row r="259" spans="1:59" s="3" customFormat="1" x14ac:dyDescent="0.2">
      <c r="A259" s="8">
        <v>4341</v>
      </c>
      <c r="B259" s="45">
        <v>5492</v>
      </c>
      <c r="C259" s="62" t="s">
        <v>41</v>
      </c>
      <c r="D259" s="66">
        <v>20</v>
      </c>
      <c r="E259" s="66">
        <v>20</v>
      </c>
      <c r="F259" s="129">
        <v>3000</v>
      </c>
      <c r="G259" s="231">
        <v>20</v>
      </c>
      <c r="H259" s="237"/>
      <c r="I259" s="251"/>
      <c r="J259" s="251"/>
      <c r="K259" s="265"/>
      <c r="L259" s="265"/>
      <c r="M259" s="265"/>
      <c r="N259" s="265"/>
      <c r="O259" s="265"/>
      <c r="P259" s="265"/>
      <c r="Q259" s="265"/>
      <c r="R259" s="265"/>
      <c r="S259" s="265"/>
      <c r="T259" s="265"/>
      <c r="U259" s="265"/>
      <c r="V259" s="265"/>
      <c r="W259" s="265"/>
      <c r="X259" s="265"/>
      <c r="Y259" s="265"/>
      <c r="Z259" s="265"/>
      <c r="AA259" s="265"/>
      <c r="AB259" s="265"/>
      <c r="AC259" s="265"/>
      <c r="AD259" s="265"/>
      <c r="AE259" s="265"/>
      <c r="AF259" s="265"/>
      <c r="AG259" s="265"/>
      <c r="AH259" s="265"/>
      <c r="AI259" s="265"/>
      <c r="AJ259" s="265"/>
      <c r="AK259" s="265"/>
      <c r="AL259" s="265"/>
      <c r="AM259" s="265"/>
      <c r="AN259" s="265"/>
      <c r="AO259" s="265"/>
      <c r="AP259" s="265"/>
      <c r="AQ259" s="265"/>
      <c r="AR259" s="265"/>
      <c r="AS259" s="265"/>
      <c r="AT259" s="265"/>
      <c r="AU259" s="265"/>
      <c r="AV259" s="265"/>
      <c r="AW259" s="265"/>
      <c r="AX259" s="265"/>
      <c r="AY259" s="265"/>
      <c r="AZ259" s="265"/>
      <c r="BA259" s="265"/>
      <c r="BB259" s="265"/>
      <c r="BC259" s="265"/>
      <c r="BD259" s="265"/>
      <c r="BE259" s="265"/>
      <c r="BF259" s="265"/>
      <c r="BG259" s="265"/>
    </row>
    <row r="260" spans="1:59" s="4" customFormat="1" ht="15.75" x14ac:dyDescent="0.25">
      <c r="A260" s="27">
        <v>4341</v>
      </c>
      <c r="B260" s="28"/>
      <c r="C260" s="59" t="s">
        <v>191</v>
      </c>
      <c r="D260" s="67">
        <f>SUM(D259)</f>
        <v>20</v>
      </c>
      <c r="E260" s="67">
        <f>SUM(E259)</f>
        <v>20</v>
      </c>
      <c r="F260" s="133">
        <f>SUM(F259:F259)</f>
        <v>3000</v>
      </c>
      <c r="G260" s="233">
        <f>SUM(G259)</f>
        <v>20</v>
      </c>
      <c r="H260" s="239">
        <f>G260</f>
        <v>20</v>
      </c>
      <c r="I260" s="251"/>
      <c r="J260" s="251"/>
      <c r="K260" s="266"/>
      <c r="L260" s="266"/>
      <c r="M260" s="266"/>
      <c r="N260" s="266"/>
      <c r="O260" s="266"/>
      <c r="P260" s="266"/>
      <c r="Q260" s="266"/>
      <c r="R260" s="266"/>
      <c r="S260" s="266"/>
      <c r="T260" s="266"/>
      <c r="U260" s="266"/>
      <c r="V260" s="266"/>
      <c r="W260" s="266"/>
      <c r="X260" s="266"/>
      <c r="Y260" s="266"/>
      <c r="Z260" s="266"/>
      <c r="AA260" s="266"/>
      <c r="AB260" s="266"/>
      <c r="AC260" s="266"/>
      <c r="AD260" s="266"/>
      <c r="AE260" s="266"/>
      <c r="AF260" s="266"/>
      <c r="AG260" s="266"/>
      <c r="AH260" s="266"/>
      <c r="AI260" s="266"/>
      <c r="AJ260" s="266"/>
      <c r="AK260" s="266"/>
      <c r="AL260" s="266"/>
      <c r="AM260" s="266"/>
      <c r="AN260" s="266"/>
      <c r="AO260" s="266"/>
      <c r="AP260" s="266"/>
      <c r="AQ260" s="266"/>
      <c r="AR260" s="266"/>
      <c r="AS260" s="266"/>
      <c r="AT260" s="266"/>
      <c r="AU260" s="266"/>
      <c r="AV260" s="266"/>
      <c r="AW260" s="266"/>
      <c r="AX260" s="266"/>
      <c r="AY260" s="266"/>
      <c r="AZ260" s="266"/>
      <c r="BA260" s="266"/>
      <c r="BB260" s="266"/>
      <c r="BC260" s="266"/>
      <c r="BD260" s="266"/>
      <c r="BE260" s="266"/>
      <c r="BF260" s="266"/>
      <c r="BG260" s="266"/>
    </row>
    <row r="261" spans="1:59" s="3" customFormat="1" ht="15.75" x14ac:dyDescent="0.25">
      <c r="A261" s="24"/>
      <c r="B261" s="25"/>
      <c r="C261" s="57"/>
      <c r="D261" s="66"/>
      <c r="E261" s="66"/>
      <c r="F261" s="130"/>
      <c r="G261" s="231"/>
      <c r="H261" s="237"/>
      <c r="I261" s="251"/>
      <c r="J261" s="251"/>
      <c r="K261" s="265"/>
      <c r="L261" s="265"/>
      <c r="M261" s="265"/>
      <c r="N261" s="265"/>
      <c r="O261" s="265"/>
      <c r="P261" s="265"/>
      <c r="Q261" s="265"/>
      <c r="R261" s="265"/>
      <c r="S261" s="265"/>
      <c r="T261" s="265"/>
      <c r="U261" s="265"/>
      <c r="V261" s="265"/>
      <c r="W261" s="265"/>
      <c r="X261" s="265"/>
      <c r="Y261" s="265"/>
      <c r="Z261" s="265"/>
      <c r="AA261" s="265"/>
      <c r="AB261" s="265"/>
      <c r="AC261" s="265"/>
      <c r="AD261" s="265"/>
      <c r="AE261" s="265"/>
      <c r="AF261" s="265"/>
      <c r="AG261" s="265"/>
      <c r="AH261" s="265"/>
      <c r="AI261" s="265"/>
      <c r="AJ261" s="265"/>
      <c r="AK261" s="265"/>
      <c r="AL261" s="265"/>
      <c r="AM261" s="265"/>
      <c r="AN261" s="265"/>
      <c r="AO261" s="265"/>
      <c r="AP261" s="265"/>
      <c r="AQ261" s="265"/>
      <c r="AR261" s="265"/>
      <c r="AS261" s="265"/>
      <c r="AT261" s="265"/>
      <c r="AU261" s="265"/>
      <c r="AV261" s="265"/>
      <c r="AW261" s="265"/>
      <c r="AX261" s="265"/>
      <c r="AY261" s="265"/>
      <c r="AZ261" s="265"/>
      <c r="BA261" s="265"/>
      <c r="BB261" s="265"/>
      <c r="BC261" s="265"/>
      <c r="BD261" s="265"/>
      <c r="BE261" s="265"/>
      <c r="BF261" s="265"/>
      <c r="BG261" s="265"/>
    </row>
    <row r="262" spans="1:59" ht="30" x14ac:dyDescent="0.2">
      <c r="A262" s="8">
        <v>4344</v>
      </c>
      <c r="B262" s="45">
        <v>5221</v>
      </c>
      <c r="C262" s="46" t="s">
        <v>196</v>
      </c>
      <c r="D262" s="66">
        <v>20</v>
      </c>
      <c r="E262" s="66">
        <f>10+10</f>
        <v>20</v>
      </c>
      <c r="F262" s="129">
        <v>20000</v>
      </c>
      <c r="G262" s="231">
        <v>20</v>
      </c>
      <c r="H262" s="237"/>
    </row>
    <row r="263" spans="1:59" ht="30" x14ac:dyDescent="0.2">
      <c r="A263" s="8">
        <v>4344</v>
      </c>
      <c r="B263" s="45">
        <v>5221</v>
      </c>
      <c r="C263" s="46" t="s">
        <v>388</v>
      </c>
      <c r="D263" s="66"/>
      <c r="E263" s="66"/>
      <c r="F263" s="129"/>
      <c r="G263" s="231">
        <v>30</v>
      </c>
      <c r="H263" s="237"/>
    </row>
    <row r="264" spans="1:59" x14ac:dyDescent="0.2">
      <c r="A264" s="8">
        <v>4344</v>
      </c>
      <c r="B264" s="45">
        <v>5222</v>
      </c>
      <c r="C264" s="62" t="s">
        <v>162</v>
      </c>
      <c r="D264" s="66">
        <v>75</v>
      </c>
      <c r="E264" s="66">
        <v>0</v>
      </c>
      <c r="F264" s="129"/>
      <c r="G264" s="231"/>
      <c r="H264" s="237"/>
    </row>
    <row r="265" spans="1:59" x14ac:dyDescent="0.2">
      <c r="A265" s="47">
        <v>4344</v>
      </c>
      <c r="B265" s="48">
        <v>5222</v>
      </c>
      <c r="C265" s="46" t="s">
        <v>163</v>
      </c>
      <c r="D265" s="66"/>
      <c r="E265" s="66">
        <v>30</v>
      </c>
      <c r="F265" s="129">
        <v>30000</v>
      </c>
      <c r="G265" s="231">
        <v>30</v>
      </c>
      <c r="H265" s="237"/>
    </row>
    <row r="266" spans="1:59" x14ac:dyDescent="0.2">
      <c r="A266" s="47">
        <v>4344</v>
      </c>
      <c r="B266" s="48">
        <v>5222</v>
      </c>
      <c r="C266" s="46" t="s">
        <v>172</v>
      </c>
      <c r="D266" s="66"/>
      <c r="E266" s="66">
        <v>25</v>
      </c>
      <c r="F266" s="129">
        <v>25000</v>
      </c>
      <c r="G266" s="231">
        <v>25</v>
      </c>
      <c r="H266" s="237"/>
    </row>
    <row r="267" spans="1:59" x14ac:dyDescent="0.2">
      <c r="A267" s="47">
        <v>4344</v>
      </c>
      <c r="B267" s="48">
        <v>5222</v>
      </c>
      <c r="C267" s="46" t="s">
        <v>161</v>
      </c>
      <c r="D267" s="66"/>
      <c r="E267" s="66">
        <v>20</v>
      </c>
      <c r="F267" s="129">
        <v>20000</v>
      </c>
      <c r="G267" s="231">
        <v>20</v>
      </c>
      <c r="H267" s="237"/>
    </row>
    <row r="268" spans="1:59" s="3" customFormat="1" ht="15.75" x14ac:dyDescent="0.25">
      <c r="A268" s="24">
        <v>4344</v>
      </c>
      <c r="B268" s="25"/>
      <c r="C268" s="57" t="s">
        <v>50</v>
      </c>
      <c r="D268" s="67">
        <f>SUM(D262:D267)</f>
        <v>95</v>
      </c>
      <c r="E268" s="67">
        <f>SUM(E262:E267)</f>
        <v>95</v>
      </c>
      <c r="F268" s="133">
        <f>SUM(F262:F267)</f>
        <v>95000</v>
      </c>
      <c r="G268" s="233">
        <f>SUM(G262:G267)</f>
        <v>125</v>
      </c>
      <c r="H268" s="239">
        <f>G268</f>
        <v>125</v>
      </c>
      <c r="I268" s="251"/>
      <c r="J268" s="251"/>
      <c r="K268" s="265"/>
      <c r="L268" s="265"/>
      <c r="M268" s="265"/>
      <c r="N268" s="265"/>
      <c r="O268" s="265"/>
      <c r="P268" s="265"/>
      <c r="Q268" s="265"/>
      <c r="R268" s="265"/>
      <c r="S268" s="265"/>
      <c r="T268" s="265"/>
      <c r="U268" s="265"/>
      <c r="V268" s="265"/>
      <c r="W268" s="265"/>
      <c r="X268" s="265"/>
      <c r="Y268" s="265"/>
      <c r="Z268" s="265"/>
      <c r="AA268" s="265"/>
      <c r="AB268" s="265"/>
      <c r="AC268" s="265"/>
      <c r="AD268" s="265"/>
      <c r="AE268" s="265"/>
      <c r="AF268" s="265"/>
      <c r="AG268" s="265"/>
      <c r="AH268" s="265"/>
      <c r="AI268" s="265"/>
      <c r="AJ268" s="265"/>
      <c r="AK268" s="265"/>
      <c r="AL268" s="265"/>
      <c r="AM268" s="265"/>
      <c r="AN268" s="265"/>
      <c r="AO268" s="265"/>
      <c r="AP268" s="265"/>
      <c r="AQ268" s="265"/>
      <c r="AR268" s="265"/>
      <c r="AS268" s="265"/>
      <c r="AT268" s="265"/>
      <c r="AU268" s="265"/>
      <c r="AV268" s="265"/>
      <c r="AW268" s="265"/>
      <c r="AX268" s="265"/>
      <c r="AY268" s="265"/>
      <c r="AZ268" s="265"/>
      <c r="BA268" s="265"/>
      <c r="BB268" s="265"/>
      <c r="BC268" s="265"/>
      <c r="BD268" s="265"/>
      <c r="BE268" s="265"/>
      <c r="BF268" s="265"/>
      <c r="BG268" s="265"/>
    </row>
    <row r="269" spans="1:59" s="3" customFormat="1" ht="15.75" x14ac:dyDescent="0.25">
      <c r="A269" s="24"/>
      <c r="B269" s="10"/>
      <c r="C269" s="60"/>
      <c r="D269" s="66"/>
      <c r="E269" s="66"/>
      <c r="F269" s="129"/>
      <c r="G269" s="231"/>
      <c r="H269" s="237"/>
      <c r="I269" s="251"/>
      <c r="J269" s="251"/>
      <c r="K269" s="265"/>
      <c r="L269" s="265"/>
      <c r="M269" s="265"/>
      <c r="N269" s="265"/>
      <c r="O269" s="265"/>
      <c r="P269" s="265"/>
      <c r="Q269" s="265"/>
      <c r="R269" s="265"/>
      <c r="S269" s="265"/>
      <c r="T269" s="265"/>
      <c r="U269" s="265"/>
      <c r="V269" s="265"/>
      <c r="W269" s="265"/>
      <c r="X269" s="265"/>
      <c r="Y269" s="265"/>
      <c r="Z269" s="265"/>
      <c r="AA269" s="265"/>
      <c r="AB269" s="265"/>
      <c r="AC269" s="265"/>
      <c r="AD269" s="265"/>
      <c r="AE269" s="265"/>
      <c r="AF269" s="265"/>
      <c r="AG269" s="265"/>
      <c r="AH269" s="265"/>
      <c r="AI269" s="265"/>
      <c r="AJ269" s="265"/>
      <c r="AK269" s="265"/>
      <c r="AL269" s="265"/>
      <c r="AM269" s="265"/>
      <c r="AN269" s="265"/>
      <c r="AO269" s="265"/>
      <c r="AP269" s="265"/>
      <c r="AQ269" s="265"/>
      <c r="AR269" s="265"/>
      <c r="AS269" s="265"/>
      <c r="AT269" s="265"/>
      <c r="AU269" s="265"/>
      <c r="AV269" s="265"/>
      <c r="AW269" s="265"/>
      <c r="AX269" s="265"/>
      <c r="AY269" s="265"/>
      <c r="AZ269" s="265"/>
      <c r="BA269" s="265"/>
      <c r="BB269" s="265"/>
      <c r="BC269" s="265"/>
      <c r="BD269" s="265"/>
      <c r="BE269" s="265"/>
      <c r="BF269" s="265"/>
      <c r="BG269" s="265"/>
    </row>
    <row r="270" spans="1:59" s="3" customFormat="1" x14ac:dyDescent="0.2">
      <c r="A270" s="8">
        <v>4357</v>
      </c>
      <c r="B270" s="45">
        <v>5041</v>
      </c>
      <c r="C270" s="62" t="s">
        <v>86</v>
      </c>
      <c r="D270" s="66">
        <v>4</v>
      </c>
      <c r="E270" s="66">
        <v>4</v>
      </c>
      <c r="F270" s="129">
        <v>0</v>
      </c>
      <c r="G270" s="231">
        <v>4</v>
      </c>
      <c r="H270" s="237"/>
      <c r="I270" s="251"/>
      <c r="J270" s="251"/>
      <c r="K270" s="265"/>
      <c r="L270" s="265"/>
      <c r="M270" s="265"/>
      <c r="N270" s="265"/>
      <c r="O270" s="265"/>
      <c r="P270" s="265"/>
      <c r="Q270" s="265"/>
      <c r="R270" s="265"/>
      <c r="S270" s="265"/>
      <c r="T270" s="265"/>
      <c r="U270" s="265"/>
      <c r="V270" s="265"/>
      <c r="W270" s="265"/>
      <c r="X270" s="265"/>
      <c r="Y270" s="265"/>
      <c r="Z270" s="265"/>
      <c r="AA270" s="265"/>
      <c r="AB270" s="265"/>
      <c r="AC270" s="265"/>
      <c r="AD270" s="265"/>
      <c r="AE270" s="265"/>
      <c r="AF270" s="265"/>
      <c r="AG270" s="265"/>
      <c r="AH270" s="265"/>
      <c r="AI270" s="265"/>
      <c r="AJ270" s="265"/>
      <c r="AK270" s="265"/>
      <c r="AL270" s="265"/>
      <c r="AM270" s="265"/>
      <c r="AN270" s="265"/>
      <c r="AO270" s="265"/>
      <c r="AP270" s="265"/>
      <c r="AQ270" s="265"/>
      <c r="AR270" s="265"/>
      <c r="AS270" s="265"/>
      <c r="AT270" s="265"/>
      <c r="AU270" s="265"/>
      <c r="AV270" s="265"/>
      <c r="AW270" s="265"/>
      <c r="AX270" s="265"/>
      <c r="AY270" s="265"/>
      <c r="AZ270" s="265"/>
      <c r="BA270" s="265"/>
      <c r="BB270" s="265"/>
      <c r="BC270" s="265"/>
      <c r="BD270" s="265"/>
      <c r="BE270" s="265"/>
      <c r="BF270" s="265"/>
      <c r="BG270" s="265"/>
    </row>
    <row r="271" spans="1:59" s="3" customFormat="1" x14ac:dyDescent="0.2">
      <c r="A271" s="47">
        <v>4357</v>
      </c>
      <c r="B271" s="48">
        <v>5137</v>
      </c>
      <c r="C271" s="46" t="s">
        <v>330</v>
      </c>
      <c r="D271" s="66">
        <v>20</v>
      </c>
      <c r="E271" s="66">
        <v>20</v>
      </c>
      <c r="F271" s="129">
        <v>9680</v>
      </c>
      <c r="G271" s="231">
        <v>10</v>
      </c>
      <c r="H271" s="237"/>
      <c r="I271" s="251"/>
      <c r="J271" s="251"/>
      <c r="K271" s="265"/>
      <c r="L271" s="265"/>
      <c r="M271" s="265"/>
      <c r="N271" s="265"/>
      <c r="O271" s="265"/>
      <c r="P271" s="265"/>
      <c r="Q271" s="265"/>
      <c r="R271" s="265"/>
      <c r="S271" s="265"/>
      <c r="T271" s="265"/>
      <c r="U271" s="265"/>
      <c r="V271" s="265"/>
      <c r="W271" s="265"/>
      <c r="X271" s="265"/>
      <c r="Y271" s="265"/>
      <c r="Z271" s="265"/>
      <c r="AA271" s="265"/>
      <c r="AB271" s="265"/>
      <c r="AC271" s="265"/>
      <c r="AD271" s="265"/>
      <c r="AE271" s="265"/>
      <c r="AF271" s="265"/>
      <c r="AG271" s="265"/>
      <c r="AH271" s="265"/>
      <c r="AI271" s="265"/>
      <c r="AJ271" s="265"/>
      <c r="AK271" s="265"/>
      <c r="AL271" s="265"/>
      <c r="AM271" s="265"/>
      <c r="AN271" s="265"/>
      <c r="AO271" s="265"/>
      <c r="AP271" s="265"/>
      <c r="AQ271" s="265"/>
      <c r="AR271" s="265"/>
      <c r="AS271" s="265"/>
      <c r="AT271" s="265"/>
      <c r="AU271" s="265"/>
      <c r="AV271" s="265"/>
      <c r="AW271" s="265"/>
      <c r="AX271" s="265"/>
      <c r="AY271" s="265"/>
      <c r="AZ271" s="265"/>
      <c r="BA271" s="265"/>
      <c r="BB271" s="265"/>
      <c r="BC271" s="265"/>
      <c r="BD271" s="265"/>
      <c r="BE271" s="265"/>
      <c r="BF271" s="265"/>
      <c r="BG271" s="265"/>
    </row>
    <row r="272" spans="1:59" s="6" customFormat="1" x14ac:dyDescent="0.2">
      <c r="A272" s="47">
        <v>4357</v>
      </c>
      <c r="B272" s="48">
        <v>5139</v>
      </c>
      <c r="C272" s="46" t="s">
        <v>187</v>
      </c>
      <c r="D272" s="66">
        <v>15</v>
      </c>
      <c r="E272" s="66">
        <v>15</v>
      </c>
      <c r="F272" s="129">
        <v>4506</v>
      </c>
      <c r="G272" s="231">
        <v>15</v>
      </c>
      <c r="H272" s="237"/>
      <c r="I272" s="251"/>
      <c r="J272" s="251"/>
      <c r="K272" s="264"/>
      <c r="L272" s="264"/>
      <c r="M272" s="264"/>
      <c r="N272" s="264"/>
      <c r="O272" s="264"/>
      <c r="P272" s="264"/>
      <c r="Q272" s="264"/>
      <c r="R272" s="264"/>
      <c r="S272" s="264"/>
      <c r="T272" s="264"/>
      <c r="U272" s="264"/>
      <c r="V272" s="264"/>
      <c r="W272" s="264"/>
      <c r="X272" s="264"/>
      <c r="Y272" s="264"/>
      <c r="Z272" s="264"/>
      <c r="AA272" s="264"/>
      <c r="AB272" s="264"/>
      <c r="AC272" s="264"/>
      <c r="AD272" s="264"/>
      <c r="AE272" s="264"/>
      <c r="AF272" s="264"/>
      <c r="AG272" s="264"/>
      <c r="AH272" s="264"/>
      <c r="AI272" s="264"/>
      <c r="AJ272" s="264"/>
      <c r="AK272" s="264"/>
      <c r="AL272" s="264"/>
      <c r="AM272" s="264"/>
      <c r="AN272" s="264"/>
      <c r="AO272" s="264"/>
      <c r="AP272" s="264"/>
      <c r="AQ272" s="264"/>
      <c r="AR272" s="264"/>
      <c r="AS272" s="264"/>
      <c r="AT272" s="264"/>
      <c r="AU272" s="264"/>
      <c r="AV272" s="264"/>
      <c r="AW272" s="264"/>
      <c r="AX272" s="264"/>
      <c r="AY272" s="264"/>
      <c r="AZ272" s="264"/>
      <c r="BA272" s="264"/>
      <c r="BB272" s="264"/>
      <c r="BC272" s="264"/>
      <c r="BD272" s="264"/>
      <c r="BE272" s="264"/>
      <c r="BF272" s="264"/>
      <c r="BG272" s="264"/>
    </row>
    <row r="273" spans="1:59" s="6" customFormat="1" x14ac:dyDescent="0.2">
      <c r="A273" s="47">
        <v>4357</v>
      </c>
      <c r="B273" s="48">
        <v>5156</v>
      </c>
      <c r="C273" s="46" t="s">
        <v>48</v>
      </c>
      <c r="D273" s="66">
        <v>12</v>
      </c>
      <c r="E273" s="66">
        <v>12</v>
      </c>
      <c r="F273" s="129">
        <v>11440.21</v>
      </c>
      <c r="G273" s="231">
        <v>13</v>
      </c>
      <c r="H273" s="237"/>
      <c r="I273" s="251"/>
      <c r="J273" s="251"/>
      <c r="K273" s="264"/>
      <c r="L273" s="264"/>
      <c r="M273" s="264"/>
      <c r="N273" s="264"/>
      <c r="O273" s="264"/>
      <c r="P273" s="264"/>
      <c r="Q273" s="264"/>
      <c r="R273" s="264"/>
      <c r="S273" s="264"/>
      <c r="T273" s="264"/>
      <c r="U273" s="264"/>
      <c r="V273" s="264"/>
      <c r="W273" s="264"/>
      <c r="X273" s="264"/>
      <c r="Y273" s="264"/>
      <c r="Z273" s="264"/>
      <c r="AA273" s="264"/>
      <c r="AB273" s="264"/>
      <c r="AC273" s="264"/>
      <c r="AD273" s="264"/>
      <c r="AE273" s="264"/>
      <c r="AF273" s="264"/>
      <c r="AG273" s="264"/>
      <c r="AH273" s="264"/>
      <c r="AI273" s="264"/>
      <c r="AJ273" s="264"/>
      <c r="AK273" s="264"/>
      <c r="AL273" s="264"/>
      <c r="AM273" s="264"/>
      <c r="AN273" s="264"/>
      <c r="AO273" s="264"/>
      <c r="AP273" s="264"/>
      <c r="AQ273" s="264"/>
      <c r="AR273" s="264"/>
      <c r="AS273" s="264"/>
      <c r="AT273" s="264"/>
      <c r="AU273" s="264"/>
      <c r="AV273" s="264"/>
      <c r="AW273" s="264"/>
      <c r="AX273" s="264"/>
      <c r="AY273" s="264"/>
      <c r="AZ273" s="264"/>
      <c r="BA273" s="264"/>
      <c r="BB273" s="264"/>
      <c r="BC273" s="264"/>
      <c r="BD273" s="264"/>
      <c r="BE273" s="264"/>
      <c r="BF273" s="264"/>
      <c r="BG273" s="264"/>
    </row>
    <row r="274" spans="1:59" s="3" customFormat="1" x14ac:dyDescent="0.2">
      <c r="A274" s="47">
        <v>4357</v>
      </c>
      <c r="B274" s="48">
        <v>5169</v>
      </c>
      <c r="C274" s="46" t="s">
        <v>135</v>
      </c>
      <c r="D274" s="66"/>
      <c r="E274" s="66"/>
      <c r="F274" s="129"/>
      <c r="G274" s="231"/>
      <c r="H274" s="237"/>
      <c r="I274" s="251"/>
      <c r="J274" s="251"/>
      <c r="K274" s="265"/>
      <c r="L274" s="265"/>
      <c r="M274" s="265"/>
      <c r="N274" s="265"/>
      <c r="O274" s="265"/>
      <c r="P274" s="265"/>
      <c r="Q274" s="265"/>
      <c r="R274" s="265"/>
      <c r="S274" s="265"/>
      <c r="T274" s="265"/>
      <c r="U274" s="265"/>
      <c r="V274" s="265"/>
      <c r="W274" s="265"/>
      <c r="X274" s="265"/>
      <c r="Y274" s="265"/>
      <c r="Z274" s="265"/>
      <c r="AA274" s="265"/>
      <c r="AB274" s="265"/>
      <c r="AC274" s="265"/>
      <c r="AD274" s="265"/>
      <c r="AE274" s="265"/>
      <c r="AF274" s="265"/>
      <c r="AG274" s="265"/>
      <c r="AH274" s="265"/>
      <c r="AI274" s="265"/>
      <c r="AJ274" s="265"/>
      <c r="AK274" s="265"/>
      <c r="AL274" s="265"/>
      <c r="AM274" s="265"/>
      <c r="AN274" s="265"/>
      <c r="AO274" s="265"/>
      <c r="AP274" s="265"/>
      <c r="AQ274" s="265"/>
      <c r="AR274" s="265"/>
      <c r="AS274" s="265"/>
      <c r="AT274" s="265"/>
      <c r="AU274" s="265"/>
      <c r="AV274" s="265"/>
      <c r="AW274" s="265"/>
      <c r="AX274" s="265"/>
      <c r="AY274" s="265"/>
      <c r="AZ274" s="265"/>
      <c r="BA274" s="265"/>
      <c r="BB274" s="265"/>
      <c r="BC274" s="265"/>
      <c r="BD274" s="265"/>
      <c r="BE274" s="265"/>
      <c r="BF274" s="265"/>
      <c r="BG274" s="265"/>
    </row>
    <row r="275" spans="1:59" s="6" customFormat="1" x14ac:dyDescent="0.2">
      <c r="A275" s="47"/>
      <c r="B275" s="48"/>
      <c r="C275" s="46" t="s">
        <v>136</v>
      </c>
      <c r="D275" s="66">
        <v>40</v>
      </c>
      <c r="E275" s="66">
        <v>40</v>
      </c>
      <c r="F275" s="129">
        <f>7000+13000+14000+17500</f>
        <v>51500</v>
      </c>
      <c r="G275" s="231">
        <v>60</v>
      </c>
      <c r="H275" s="237"/>
      <c r="I275" s="251"/>
      <c r="J275" s="251"/>
      <c r="K275" s="264"/>
      <c r="L275" s="264"/>
      <c r="M275" s="264"/>
      <c r="N275" s="264"/>
      <c r="O275" s="264"/>
      <c r="P275" s="264"/>
      <c r="Q275" s="264"/>
      <c r="R275" s="264"/>
      <c r="S275" s="264"/>
      <c r="T275" s="264"/>
      <c r="U275" s="264"/>
      <c r="V275" s="264"/>
      <c r="W275" s="264"/>
      <c r="X275" s="264"/>
      <c r="Y275" s="264"/>
      <c r="Z275" s="264"/>
      <c r="AA275" s="264"/>
      <c r="AB275" s="264"/>
      <c r="AC275" s="264"/>
      <c r="AD275" s="264"/>
      <c r="AE275" s="264"/>
      <c r="AF275" s="264"/>
      <c r="AG275" s="264"/>
      <c r="AH275" s="264"/>
      <c r="AI275" s="264"/>
      <c r="AJ275" s="264"/>
      <c r="AK275" s="264"/>
      <c r="AL275" s="264"/>
      <c r="AM275" s="264"/>
      <c r="AN275" s="264"/>
      <c r="AO275" s="264"/>
      <c r="AP275" s="264"/>
      <c r="AQ275" s="264"/>
      <c r="AR275" s="264"/>
      <c r="AS275" s="264"/>
      <c r="AT275" s="264"/>
      <c r="AU275" s="264"/>
      <c r="AV275" s="264"/>
      <c r="AW275" s="264"/>
      <c r="AX275" s="264"/>
      <c r="AY275" s="264"/>
      <c r="AZ275" s="264"/>
      <c r="BA275" s="264"/>
      <c r="BB275" s="264"/>
      <c r="BC275" s="264"/>
      <c r="BD275" s="264"/>
      <c r="BE275" s="264"/>
      <c r="BF275" s="264"/>
      <c r="BG275" s="264"/>
    </row>
    <row r="276" spans="1:59" s="6" customFormat="1" x14ac:dyDescent="0.2">
      <c r="A276" s="47"/>
      <c r="B276" s="48"/>
      <c r="C276" s="46" t="s">
        <v>233</v>
      </c>
      <c r="D276" s="66">
        <v>100</v>
      </c>
      <c r="E276" s="66">
        <v>100</v>
      </c>
      <c r="F276" s="129">
        <f>16682.94+12310+2783</f>
        <v>31775.94</v>
      </c>
      <c r="G276" s="231">
        <v>100</v>
      </c>
      <c r="H276" s="237"/>
      <c r="I276" s="251"/>
      <c r="J276" s="251"/>
      <c r="K276" s="264"/>
      <c r="L276" s="264"/>
      <c r="M276" s="264"/>
      <c r="N276" s="264"/>
      <c r="O276" s="264"/>
      <c r="P276" s="264"/>
      <c r="Q276" s="264"/>
      <c r="R276" s="264"/>
      <c r="S276" s="264"/>
      <c r="T276" s="264"/>
      <c r="U276" s="264"/>
      <c r="V276" s="264"/>
      <c r="W276" s="264"/>
      <c r="X276" s="264"/>
      <c r="Y276" s="264"/>
      <c r="Z276" s="264"/>
      <c r="AA276" s="264"/>
      <c r="AB276" s="264"/>
      <c r="AC276" s="264"/>
      <c r="AD276" s="264"/>
      <c r="AE276" s="264"/>
      <c r="AF276" s="264"/>
      <c r="AG276" s="264"/>
      <c r="AH276" s="264"/>
      <c r="AI276" s="264"/>
      <c r="AJ276" s="264"/>
      <c r="AK276" s="264"/>
      <c r="AL276" s="264"/>
      <c r="AM276" s="264"/>
      <c r="AN276" s="264"/>
      <c r="AO276" s="264"/>
      <c r="AP276" s="264"/>
      <c r="AQ276" s="264"/>
      <c r="AR276" s="264"/>
      <c r="AS276" s="264"/>
      <c r="AT276" s="264"/>
      <c r="AU276" s="264"/>
      <c r="AV276" s="264"/>
      <c r="AW276" s="264"/>
      <c r="AX276" s="264"/>
      <c r="AY276" s="264"/>
      <c r="AZ276" s="264"/>
      <c r="BA276" s="264"/>
      <c r="BB276" s="264"/>
      <c r="BC276" s="264"/>
      <c r="BD276" s="264"/>
      <c r="BE276" s="264"/>
      <c r="BF276" s="264"/>
      <c r="BG276" s="264"/>
    </row>
    <row r="277" spans="1:59" s="6" customFormat="1" ht="30" x14ac:dyDescent="0.2">
      <c r="A277" s="47"/>
      <c r="B277" s="48"/>
      <c r="C277" s="46" t="s">
        <v>377</v>
      </c>
      <c r="D277" s="66">
        <v>200</v>
      </c>
      <c r="E277" s="66">
        <v>200</v>
      </c>
      <c r="F277" s="129">
        <v>0</v>
      </c>
      <c r="G277" s="231">
        <v>200</v>
      </c>
      <c r="H277" s="237"/>
      <c r="I277" s="251"/>
      <c r="J277" s="251"/>
      <c r="K277" s="264"/>
      <c r="L277" s="264"/>
      <c r="M277" s="264"/>
      <c r="N277" s="264"/>
      <c r="O277" s="264"/>
      <c r="P277" s="264"/>
      <c r="Q277" s="264"/>
      <c r="R277" s="264"/>
      <c r="S277" s="264"/>
      <c r="T277" s="264"/>
      <c r="U277" s="264"/>
      <c r="V277" s="264"/>
      <c r="W277" s="264"/>
      <c r="X277" s="264"/>
      <c r="Y277" s="264"/>
      <c r="Z277" s="264"/>
      <c r="AA277" s="264"/>
      <c r="AB277" s="264"/>
      <c r="AC277" s="264"/>
      <c r="AD277" s="264"/>
      <c r="AE277" s="264"/>
      <c r="AF277" s="264"/>
      <c r="AG277" s="264"/>
      <c r="AH277" s="264"/>
      <c r="AI277" s="264"/>
      <c r="AJ277" s="264"/>
      <c r="AK277" s="264"/>
      <c r="AL277" s="264"/>
      <c r="AM277" s="264"/>
      <c r="AN277" s="264"/>
      <c r="AO277" s="264"/>
      <c r="AP277" s="264"/>
      <c r="AQ277" s="264"/>
      <c r="AR277" s="264"/>
      <c r="AS277" s="264"/>
      <c r="AT277" s="264"/>
      <c r="AU277" s="264"/>
      <c r="AV277" s="264"/>
      <c r="AW277" s="264"/>
      <c r="AX277" s="264"/>
      <c r="AY277" s="264"/>
      <c r="AZ277" s="264"/>
      <c r="BA277" s="264"/>
      <c r="BB277" s="264"/>
      <c r="BC277" s="264"/>
      <c r="BD277" s="264"/>
      <c r="BE277" s="264"/>
      <c r="BF277" s="264"/>
      <c r="BG277" s="264"/>
    </row>
    <row r="278" spans="1:59" s="6" customFormat="1" ht="30" x14ac:dyDescent="0.2">
      <c r="A278" s="47">
        <v>4357</v>
      </c>
      <c r="B278" s="48">
        <v>5171</v>
      </c>
      <c r="C278" s="46" t="s">
        <v>370</v>
      </c>
      <c r="D278" s="66">
        <v>500</v>
      </c>
      <c r="E278" s="66">
        <v>500</v>
      </c>
      <c r="F278" s="129">
        <v>61950</v>
      </c>
      <c r="G278" s="231">
        <f>500+300</f>
        <v>800</v>
      </c>
      <c r="H278" s="237"/>
      <c r="I278" s="251"/>
      <c r="J278" s="251"/>
      <c r="K278" s="264"/>
      <c r="L278" s="264"/>
      <c r="M278" s="264"/>
      <c r="N278" s="264"/>
      <c r="O278" s="264"/>
      <c r="P278" s="264"/>
      <c r="Q278" s="264"/>
      <c r="R278" s="264"/>
      <c r="S278" s="264"/>
      <c r="T278" s="264"/>
      <c r="U278" s="264"/>
      <c r="V278" s="264"/>
      <c r="W278" s="264"/>
      <c r="X278" s="264"/>
      <c r="Y278" s="264"/>
      <c r="Z278" s="264"/>
      <c r="AA278" s="264"/>
      <c r="AB278" s="264"/>
      <c r="AC278" s="264"/>
      <c r="AD278" s="264"/>
      <c r="AE278" s="264"/>
      <c r="AF278" s="264"/>
      <c r="AG278" s="264"/>
      <c r="AH278" s="264"/>
      <c r="AI278" s="264"/>
      <c r="AJ278" s="264"/>
      <c r="AK278" s="264"/>
      <c r="AL278" s="264"/>
      <c r="AM278" s="264"/>
      <c r="AN278" s="264"/>
      <c r="AO278" s="264"/>
      <c r="AP278" s="264"/>
      <c r="AQ278" s="264"/>
      <c r="AR278" s="264"/>
      <c r="AS278" s="264"/>
      <c r="AT278" s="264"/>
      <c r="AU278" s="264"/>
      <c r="AV278" s="264"/>
      <c r="AW278" s="264"/>
      <c r="AX278" s="264"/>
      <c r="AY278" s="264"/>
      <c r="AZ278" s="264"/>
      <c r="BA278" s="264"/>
      <c r="BB278" s="264"/>
      <c r="BC278" s="264"/>
      <c r="BD278" s="264"/>
      <c r="BE278" s="264"/>
      <c r="BF278" s="264"/>
      <c r="BG278" s="264"/>
    </row>
    <row r="279" spans="1:59" s="6" customFormat="1" x14ac:dyDescent="0.2">
      <c r="A279" s="47">
        <v>4357</v>
      </c>
      <c r="B279" s="48">
        <v>5175</v>
      </c>
      <c r="C279" s="46" t="s">
        <v>13</v>
      </c>
      <c r="D279" s="66">
        <v>18</v>
      </c>
      <c r="E279" s="66">
        <v>18</v>
      </c>
      <c r="F279" s="129">
        <v>14658</v>
      </c>
      <c r="G279" s="231">
        <v>18</v>
      </c>
      <c r="H279" s="237"/>
      <c r="I279" s="251"/>
      <c r="J279" s="251"/>
      <c r="K279" s="264"/>
      <c r="L279" s="264"/>
      <c r="M279" s="264"/>
      <c r="N279" s="264"/>
      <c r="O279" s="264"/>
      <c r="P279" s="264"/>
      <c r="Q279" s="264"/>
      <c r="R279" s="264"/>
      <c r="S279" s="264"/>
      <c r="T279" s="264"/>
      <c r="U279" s="264"/>
      <c r="V279" s="264"/>
      <c r="W279" s="264"/>
      <c r="X279" s="264"/>
      <c r="Y279" s="264"/>
      <c r="Z279" s="264"/>
      <c r="AA279" s="264"/>
      <c r="AB279" s="264"/>
      <c r="AC279" s="264"/>
      <c r="AD279" s="264"/>
      <c r="AE279" s="264"/>
      <c r="AF279" s="264"/>
      <c r="AG279" s="264"/>
      <c r="AH279" s="264"/>
      <c r="AI279" s="264"/>
      <c r="AJ279" s="264"/>
      <c r="AK279" s="264"/>
      <c r="AL279" s="264"/>
      <c r="AM279" s="264"/>
      <c r="AN279" s="264"/>
      <c r="AO279" s="264"/>
      <c r="AP279" s="264"/>
      <c r="AQ279" s="264"/>
      <c r="AR279" s="264"/>
      <c r="AS279" s="264"/>
      <c r="AT279" s="264"/>
      <c r="AU279" s="264"/>
      <c r="AV279" s="264"/>
      <c r="AW279" s="264"/>
      <c r="AX279" s="264"/>
      <c r="AY279" s="264"/>
      <c r="AZ279" s="264"/>
      <c r="BA279" s="264"/>
      <c r="BB279" s="264"/>
      <c r="BC279" s="264"/>
      <c r="BD279" s="264"/>
      <c r="BE279" s="264"/>
      <c r="BF279" s="264"/>
      <c r="BG279" s="264"/>
    </row>
    <row r="280" spans="1:59" s="6" customFormat="1" x14ac:dyDescent="0.2">
      <c r="A280" s="47">
        <v>4357</v>
      </c>
      <c r="B280" s="48">
        <v>5194</v>
      </c>
      <c r="C280" s="46" t="s">
        <v>164</v>
      </c>
      <c r="D280" s="66">
        <v>3</v>
      </c>
      <c r="E280" s="66">
        <v>3</v>
      </c>
      <c r="F280" s="129">
        <v>600</v>
      </c>
      <c r="G280" s="231">
        <v>3</v>
      </c>
      <c r="H280" s="237"/>
      <c r="I280" s="251"/>
      <c r="J280" s="251"/>
      <c r="K280" s="264"/>
      <c r="L280" s="264"/>
      <c r="M280" s="264"/>
      <c r="N280" s="264"/>
      <c r="O280" s="264"/>
      <c r="P280" s="264"/>
      <c r="Q280" s="264"/>
      <c r="R280" s="264"/>
      <c r="S280" s="264"/>
      <c r="T280" s="264"/>
      <c r="U280" s="264"/>
      <c r="V280" s="264"/>
      <c r="W280" s="264"/>
      <c r="X280" s="264"/>
      <c r="Y280" s="264"/>
      <c r="Z280" s="264"/>
      <c r="AA280" s="264"/>
      <c r="AB280" s="264"/>
      <c r="AC280" s="264"/>
      <c r="AD280" s="264"/>
      <c r="AE280" s="264"/>
      <c r="AF280" s="264"/>
      <c r="AG280" s="264"/>
      <c r="AH280" s="264"/>
      <c r="AI280" s="264"/>
      <c r="AJ280" s="264"/>
      <c r="AK280" s="264"/>
      <c r="AL280" s="264"/>
      <c r="AM280" s="264"/>
      <c r="AN280" s="264"/>
      <c r="AO280" s="264"/>
      <c r="AP280" s="264"/>
      <c r="AQ280" s="264"/>
      <c r="AR280" s="264"/>
      <c r="AS280" s="264"/>
      <c r="AT280" s="264"/>
      <c r="AU280" s="264"/>
      <c r="AV280" s="264"/>
      <c r="AW280" s="264"/>
      <c r="AX280" s="264"/>
      <c r="AY280" s="264"/>
      <c r="AZ280" s="264"/>
      <c r="BA280" s="264"/>
      <c r="BB280" s="264"/>
      <c r="BC280" s="264"/>
      <c r="BD280" s="264"/>
      <c r="BE280" s="264"/>
      <c r="BF280" s="264"/>
      <c r="BG280" s="264"/>
    </row>
    <row r="281" spans="1:59" s="6" customFormat="1" x14ac:dyDescent="0.2">
      <c r="A281" s="47">
        <v>4357</v>
      </c>
      <c r="B281" s="48">
        <v>5492</v>
      </c>
      <c r="C281" s="46" t="s">
        <v>390</v>
      </c>
      <c r="D281" s="66">
        <v>4</v>
      </c>
      <c r="E281" s="66">
        <v>4</v>
      </c>
      <c r="F281" s="129">
        <v>0</v>
      </c>
      <c r="G281" s="231">
        <v>65</v>
      </c>
      <c r="H281" s="237"/>
      <c r="I281" s="251"/>
      <c r="J281" s="251"/>
      <c r="K281" s="264"/>
      <c r="L281" s="264"/>
      <c r="M281" s="264"/>
      <c r="N281" s="264"/>
      <c r="O281" s="264"/>
      <c r="P281" s="264"/>
      <c r="Q281" s="264"/>
      <c r="R281" s="264"/>
      <c r="S281" s="264"/>
      <c r="T281" s="264"/>
      <c r="U281" s="264"/>
      <c r="V281" s="264"/>
      <c r="W281" s="264"/>
      <c r="X281" s="264"/>
      <c r="Y281" s="264"/>
      <c r="Z281" s="264"/>
      <c r="AA281" s="264"/>
      <c r="AB281" s="264"/>
      <c r="AC281" s="264"/>
      <c r="AD281" s="264"/>
      <c r="AE281" s="264"/>
      <c r="AF281" s="264"/>
      <c r="AG281" s="264"/>
      <c r="AH281" s="264"/>
      <c r="AI281" s="264"/>
      <c r="AJ281" s="264"/>
      <c r="AK281" s="264"/>
      <c r="AL281" s="264"/>
      <c r="AM281" s="264"/>
      <c r="AN281" s="264"/>
      <c r="AO281" s="264"/>
      <c r="AP281" s="264"/>
      <c r="AQ281" s="264"/>
      <c r="AR281" s="264"/>
      <c r="AS281" s="264"/>
      <c r="AT281" s="264"/>
      <c r="AU281" s="264"/>
      <c r="AV281" s="264"/>
      <c r="AW281" s="264"/>
      <c r="AX281" s="264"/>
      <c r="AY281" s="264"/>
      <c r="AZ281" s="264"/>
      <c r="BA281" s="264"/>
      <c r="BB281" s="264"/>
      <c r="BC281" s="264"/>
      <c r="BD281" s="264"/>
      <c r="BE281" s="264"/>
      <c r="BF281" s="264"/>
      <c r="BG281" s="264"/>
    </row>
    <row r="282" spans="1:59" s="160" customFormat="1" x14ac:dyDescent="0.2">
      <c r="A282" s="122">
        <v>4357</v>
      </c>
      <c r="B282" s="155">
        <v>6121</v>
      </c>
      <c r="C282" s="89" t="s">
        <v>274</v>
      </c>
      <c r="D282" s="103">
        <v>2000</v>
      </c>
      <c r="E282" s="103">
        <v>2000</v>
      </c>
      <c r="F282" s="134">
        <f>249756.1+9000+1519334+35525.6</f>
        <v>1813615.7000000002</v>
      </c>
      <c r="G282" s="231">
        <v>0</v>
      </c>
      <c r="H282" s="237"/>
      <c r="I282" s="258"/>
      <c r="J282" s="251"/>
      <c r="K282" s="251"/>
      <c r="L282" s="251"/>
      <c r="M282" s="251"/>
      <c r="N282" s="251"/>
      <c r="O282" s="251"/>
      <c r="P282" s="251"/>
      <c r="Q282" s="251"/>
      <c r="R282" s="251"/>
      <c r="S282" s="251"/>
      <c r="T282" s="251"/>
      <c r="U282" s="251"/>
      <c r="V282" s="251"/>
      <c r="W282" s="251"/>
      <c r="X282" s="251"/>
      <c r="Y282" s="251"/>
      <c r="Z282" s="251"/>
      <c r="AA282" s="251"/>
      <c r="AB282" s="251"/>
      <c r="AC282" s="251"/>
      <c r="AD282" s="251"/>
      <c r="AE282" s="251"/>
      <c r="AF282" s="251"/>
      <c r="AG282" s="251"/>
      <c r="AH282" s="251"/>
      <c r="AI282" s="251"/>
      <c r="AJ282" s="251"/>
      <c r="AK282" s="251"/>
      <c r="AL282" s="251"/>
      <c r="AM282" s="251"/>
      <c r="AN282" s="251"/>
      <c r="AO282" s="251"/>
      <c r="AP282" s="251"/>
      <c r="AQ282" s="251"/>
      <c r="AR282" s="251"/>
      <c r="AS282" s="251"/>
      <c r="AT282" s="251"/>
      <c r="AU282" s="251"/>
      <c r="AV282" s="251"/>
      <c r="AW282" s="251"/>
      <c r="AX282" s="251"/>
      <c r="AY282" s="251"/>
      <c r="AZ282" s="251"/>
      <c r="BA282" s="251"/>
      <c r="BB282" s="251"/>
      <c r="BC282" s="251"/>
      <c r="BD282" s="251"/>
      <c r="BE282" s="251"/>
      <c r="BF282" s="251"/>
      <c r="BG282" s="251"/>
    </row>
    <row r="283" spans="1:59" s="3" customFormat="1" ht="15.75" x14ac:dyDescent="0.25">
      <c r="A283" s="24">
        <v>4357</v>
      </c>
      <c r="B283" s="25"/>
      <c r="C283" s="57" t="s">
        <v>130</v>
      </c>
      <c r="D283" s="67">
        <f>SUM(D270:D282)</f>
        <v>2916</v>
      </c>
      <c r="E283" s="67">
        <f>SUM(E270:E282)</f>
        <v>2916</v>
      </c>
      <c r="F283" s="133">
        <f>SUM(F270:F282)</f>
        <v>1999725.85</v>
      </c>
      <c r="G283" s="233">
        <f>SUM(G270:G282)</f>
        <v>1288</v>
      </c>
      <c r="H283" s="239">
        <f>G283</f>
        <v>1288</v>
      </c>
      <c r="I283" s="251"/>
      <c r="J283" s="251"/>
      <c r="K283" s="265"/>
      <c r="L283" s="265"/>
      <c r="M283" s="265"/>
      <c r="N283" s="265"/>
      <c r="O283" s="265"/>
      <c r="P283" s="265"/>
      <c r="Q283" s="265"/>
      <c r="R283" s="265"/>
      <c r="S283" s="265"/>
      <c r="T283" s="265"/>
      <c r="U283" s="265"/>
      <c r="V283" s="265"/>
      <c r="W283" s="265"/>
      <c r="X283" s="265"/>
      <c r="Y283" s="265"/>
      <c r="Z283" s="265"/>
      <c r="AA283" s="265"/>
      <c r="AB283" s="265"/>
      <c r="AC283" s="265"/>
      <c r="AD283" s="265"/>
      <c r="AE283" s="265"/>
      <c r="AF283" s="265"/>
      <c r="AG283" s="265"/>
      <c r="AH283" s="265"/>
      <c r="AI283" s="265"/>
      <c r="AJ283" s="265"/>
      <c r="AK283" s="265"/>
      <c r="AL283" s="265"/>
      <c r="AM283" s="265"/>
      <c r="AN283" s="265"/>
      <c r="AO283" s="265"/>
      <c r="AP283" s="265"/>
      <c r="AQ283" s="265"/>
      <c r="AR283" s="265"/>
      <c r="AS283" s="265"/>
      <c r="AT283" s="265"/>
      <c r="AU283" s="265"/>
      <c r="AV283" s="265"/>
      <c r="AW283" s="265"/>
      <c r="AX283" s="265"/>
      <c r="AY283" s="265"/>
      <c r="AZ283" s="265"/>
      <c r="BA283" s="265"/>
      <c r="BB283" s="265"/>
      <c r="BC283" s="265"/>
      <c r="BD283" s="265"/>
      <c r="BE283" s="265"/>
      <c r="BF283" s="265"/>
      <c r="BG283" s="265"/>
    </row>
    <row r="284" spans="1:59" s="3" customFormat="1" ht="15.75" x14ac:dyDescent="0.25">
      <c r="A284" s="24"/>
      <c r="B284" s="25"/>
      <c r="C284" s="57"/>
      <c r="D284" s="66"/>
      <c r="E284" s="66"/>
      <c r="F284" s="130"/>
      <c r="G284" s="231"/>
      <c r="H284" s="237"/>
      <c r="I284" s="251"/>
      <c r="J284" s="251"/>
      <c r="K284" s="265"/>
      <c r="L284" s="265"/>
      <c r="M284" s="265"/>
      <c r="N284" s="265"/>
      <c r="O284" s="265"/>
      <c r="P284" s="265"/>
      <c r="Q284" s="265"/>
      <c r="R284" s="265"/>
      <c r="S284" s="265"/>
      <c r="T284" s="265"/>
      <c r="U284" s="265"/>
      <c r="V284" s="265"/>
      <c r="W284" s="265"/>
      <c r="X284" s="265"/>
      <c r="Y284" s="265"/>
      <c r="Z284" s="265"/>
      <c r="AA284" s="265"/>
      <c r="AB284" s="265"/>
      <c r="AC284" s="265"/>
      <c r="AD284" s="265"/>
      <c r="AE284" s="265"/>
      <c r="AF284" s="265"/>
      <c r="AG284" s="265"/>
      <c r="AH284" s="265"/>
      <c r="AI284" s="265"/>
      <c r="AJ284" s="265"/>
      <c r="AK284" s="265"/>
      <c r="AL284" s="265"/>
      <c r="AM284" s="265"/>
      <c r="AN284" s="265"/>
      <c r="AO284" s="265"/>
      <c r="AP284" s="265"/>
      <c r="AQ284" s="265"/>
      <c r="AR284" s="265"/>
      <c r="AS284" s="265"/>
      <c r="AT284" s="265"/>
      <c r="AU284" s="265"/>
      <c r="AV284" s="265"/>
      <c r="AW284" s="265"/>
      <c r="AX284" s="265"/>
      <c r="AY284" s="265"/>
      <c r="AZ284" s="265"/>
      <c r="BA284" s="265"/>
      <c r="BB284" s="265"/>
      <c r="BC284" s="265"/>
      <c r="BD284" s="265"/>
      <c r="BE284" s="265"/>
      <c r="BF284" s="265"/>
      <c r="BG284" s="265"/>
    </row>
    <row r="285" spans="1:59" s="3" customFormat="1" x14ac:dyDescent="0.2">
      <c r="A285" s="8">
        <v>4359</v>
      </c>
      <c r="B285" s="10">
        <v>5139</v>
      </c>
      <c r="C285" s="58" t="s">
        <v>4</v>
      </c>
      <c r="D285" s="66">
        <v>2</v>
      </c>
      <c r="E285" s="66">
        <v>2</v>
      </c>
      <c r="F285" s="129">
        <v>0</v>
      </c>
      <c r="G285" s="231">
        <v>2</v>
      </c>
      <c r="H285" s="237"/>
      <c r="I285" s="251"/>
      <c r="J285" s="251"/>
      <c r="K285" s="265"/>
      <c r="L285" s="265"/>
      <c r="M285" s="265"/>
      <c r="N285" s="265"/>
      <c r="O285" s="265"/>
      <c r="P285" s="265"/>
      <c r="Q285" s="265"/>
      <c r="R285" s="265"/>
      <c r="S285" s="265"/>
      <c r="T285" s="265"/>
      <c r="U285" s="265"/>
      <c r="V285" s="265"/>
      <c r="W285" s="265"/>
      <c r="X285" s="265"/>
      <c r="Y285" s="265"/>
      <c r="Z285" s="265"/>
      <c r="AA285" s="265"/>
      <c r="AB285" s="265"/>
      <c r="AC285" s="265"/>
      <c r="AD285" s="265"/>
      <c r="AE285" s="265"/>
      <c r="AF285" s="265"/>
      <c r="AG285" s="265"/>
      <c r="AH285" s="265"/>
      <c r="AI285" s="265"/>
      <c r="AJ285" s="265"/>
      <c r="AK285" s="265"/>
      <c r="AL285" s="265"/>
      <c r="AM285" s="265"/>
      <c r="AN285" s="265"/>
      <c r="AO285" s="265"/>
      <c r="AP285" s="265"/>
      <c r="AQ285" s="265"/>
      <c r="AR285" s="265"/>
      <c r="AS285" s="265"/>
      <c r="AT285" s="265"/>
      <c r="AU285" s="265"/>
      <c r="AV285" s="265"/>
      <c r="AW285" s="265"/>
      <c r="AX285" s="265"/>
      <c r="AY285" s="265"/>
      <c r="AZ285" s="265"/>
      <c r="BA285" s="265"/>
      <c r="BB285" s="265"/>
      <c r="BC285" s="265"/>
      <c r="BD285" s="265"/>
      <c r="BE285" s="265"/>
      <c r="BF285" s="265"/>
      <c r="BG285" s="265"/>
    </row>
    <row r="286" spans="1:59" s="3" customFormat="1" x14ac:dyDescent="0.2">
      <c r="A286" s="8">
        <v>4359</v>
      </c>
      <c r="B286" s="10">
        <v>5169</v>
      </c>
      <c r="C286" s="58" t="s">
        <v>88</v>
      </c>
      <c r="D286" s="66">
        <v>4</v>
      </c>
      <c r="E286" s="66">
        <v>4</v>
      </c>
      <c r="F286" s="129">
        <v>0</v>
      </c>
      <c r="G286" s="231">
        <v>4</v>
      </c>
      <c r="H286" s="237"/>
      <c r="I286" s="251"/>
      <c r="J286" s="251"/>
      <c r="K286" s="265"/>
      <c r="L286" s="265"/>
      <c r="M286" s="265"/>
      <c r="N286" s="265"/>
      <c r="O286" s="265"/>
      <c r="P286" s="265"/>
      <c r="Q286" s="265"/>
      <c r="R286" s="265"/>
      <c r="S286" s="265"/>
      <c r="T286" s="265"/>
      <c r="U286" s="265"/>
      <c r="V286" s="265"/>
      <c r="W286" s="265"/>
      <c r="X286" s="265"/>
      <c r="Y286" s="265"/>
      <c r="Z286" s="265"/>
      <c r="AA286" s="265"/>
      <c r="AB286" s="265"/>
      <c r="AC286" s="265"/>
      <c r="AD286" s="265"/>
      <c r="AE286" s="265"/>
      <c r="AF286" s="265"/>
      <c r="AG286" s="265"/>
      <c r="AH286" s="265"/>
      <c r="AI286" s="265"/>
      <c r="AJ286" s="265"/>
      <c r="AK286" s="265"/>
      <c r="AL286" s="265"/>
      <c r="AM286" s="265"/>
      <c r="AN286" s="265"/>
      <c r="AO286" s="265"/>
      <c r="AP286" s="265"/>
      <c r="AQ286" s="265"/>
      <c r="AR286" s="265"/>
      <c r="AS286" s="265"/>
      <c r="AT286" s="265"/>
      <c r="AU286" s="265"/>
      <c r="AV286" s="265"/>
      <c r="AW286" s="265"/>
      <c r="AX286" s="265"/>
      <c r="AY286" s="265"/>
      <c r="AZ286" s="265"/>
      <c r="BA286" s="265"/>
      <c r="BB286" s="265"/>
      <c r="BC286" s="265"/>
      <c r="BD286" s="265"/>
      <c r="BE286" s="265"/>
      <c r="BF286" s="265"/>
      <c r="BG286" s="265"/>
    </row>
    <row r="287" spans="1:59" s="3" customFormat="1" x14ac:dyDescent="0.2">
      <c r="A287" s="26">
        <v>4359</v>
      </c>
      <c r="B287" s="29">
        <v>5175</v>
      </c>
      <c r="C287" s="61" t="s">
        <v>13</v>
      </c>
      <c r="D287" s="66">
        <v>8</v>
      </c>
      <c r="E287" s="66">
        <v>8</v>
      </c>
      <c r="F287" s="129">
        <v>1314</v>
      </c>
      <c r="G287" s="231">
        <v>8</v>
      </c>
      <c r="H287" s="237"/>
      <c r="I287" s="251"/>
      <c r="J287" s="251"/>
      <c r="K287" s="265"/>
      <c r="L287" s="265"/>
      <c r="M287" s="265"/>
      <c r="N287" s="265"/>
      <c r="O287" s="265"/>
      <c r="P287" s="265"/>
      <c r="Q287" s="265"/>
      <c r="R287" s="265"/>
      <c r="S287" s="265"/>
      <c r="T287" s="265"/>
      <c r="U287" s="265"/>
      <c r="V287" s="265"/>
      <c r="W287" s="265"/>
      <c r="X287" s="265"/>
      <c r="Y287" s="265"/>
      <c r="Z287" s="265"/>
      <c r="AA287" s="265"/>
      <c r="AB287" s="265"/>
      <c r="AC287" s="265"/>
      <c r="AD287" s="265"/>
      <c r="AE287" s="265"/>
      <c r="AF287" s="265"/>
      <c r="AG287" s="265"/>
      <c r="AH287" s="265"/>
      <c r="AI287" s="265"/>
      <c r="AJ287" s="265"/>
      <c r="AK287" s="265"/>
      <c r="AL287" s="265"/>
      <c r="AM287" s="265"/>
      <c r="AN287" s="265"/>
      <c r="AO287" s="265"/>
      <c r="AP287" s="265"/>
      <c r="AQ287" s="265"/>
      <c r="AR287" s="265"/>
      <c r="AS287" s="265"/>
      <c r="AT287" s="265"/>
      <c r="AU287" s="265"/>
      <c r="AV287" s="265"/>
      <c r="AW287" s="265"/>
      <c r="AX287" s="265"/>
      <c r="AY287" s="265"/>
      <c r="AZ287" s="265"/>
      <c r="BA287" s="265"/>
      <c r="BB287" s="265"/>
      <c r="BC287" s="265"/>
      <c r="BD287" s="265"/>
      <c r="BE287" s="265"/>
      <c r="BF287" s="265"/>
      <c r="BG287" s="265"/>
    </row>
    <row r="288" spans="1:59" s="3" customFormat="1" ht="15.75" x14ac:dyDescent="0.25">
      <c r="A288" s="24">
        <v>4359</v>
      </c>
      <c r="B288" s="25"/>
      <c r="C288" s="57" t="s">
        <v>51</v>
      </c>
      <c r="D288" s="67">
        <f>SUM(D285:D287)</f>
        <v>14</v>
      </c>
      <c r="E288" s="67">
        <f>SUM(E285:E287)</f>
        <v>14</v>
      </c>
      <c r="F288" s="133">
        <f>SUM(F285:F287)</f>
        <v>1314</v>
      </c>
      <c r="G288" s="233">
        <f>SUM(G285:G287)</f>
        <v>14</v>
      </c>
      <c r="H288" s="239">
        <f>G288</f>
        <v>14</v>
      </c>
      <c r="I288" s="251"/>
      <c r="J288" s="251"/>
      <c r="K288" s="265"/>
      <c r="L288" s="265"/>
      <c r="M288" s="265"/>
      <c r="N288" s="265"/>
      <c r="O288" s="265"/>
      <c r="P288" s="265"/>
      <c r="Q288" s="265"/>
      <c r="R288" s="265"/>
      <c r="S288" s="265"/>
      <c r="T288" s="265"/>
      <c r="U288" s="265"/>
      <c r="V288" s="265"/>
      <c r="W288" s="265"/>
      <c r="X288" s="265"/>
      <c r="Y288" s="265"/>
      <c r="Z288" s="265"/>
      <c r="AA288" s="265"/>
      <c r="AB288" s="265"/>
      <c r="AC288" s="265"/>
      <c r="AD288" s="265"/>
      <c r="AE288" s="265"/>
      <c r="AF288" s="265"/>
      <c r="AG288" s="265"/>
      <c r="AH288" s="265"/>
      <c r="AI288" s="265"/>
      <c r="AJ288" s="265"/>
      <c r="AK288" s="265"/>
      <c r="AL288" s="265"/>
      <c r="AM288" s="265"/>
      <c r="AN288" s="265"/>
      <c r="AO288" s="265"/>
      <c r="AP288" s="265"/>
      <c r="AQ288" s="265"/>
      <c r="AR288" s="265"/>
      <c r="AS288" s="265"/>
      <c r="AT288" s="265"/>
      <c r="AU288" s="265"/>
      <c r="AV288" s="265"/>
      <c r="AW288" s="265"/>
      <c r="AX288" s="265"/>
      <c r="AY288" s="265"/>
      <c r="AZ288" s="265"/>
      <c r="BA288" s="265"/>
      <c r="BB288" s="265"/>
      <c r="BC288" s="265"/>
      <c r="BD288" s="265"/>
      <c r="BE288" s="265"/>
      <c r="BF288" s="265"/>
      <c r="BG288" s="265"/>
    </row>
    <row r="289" spans="1:59" s="4" customFormat="1" ht="15.75" x14ac:dyDescent="0.25">
      <c r="A289" s="49"/>
      <c r="B289" s="50"/>
      <c r="C289" s="82"/>
      <c r="D289" s="66"/>
      <c r="E289" s="66"/>
      <c r="F289" s="133"/>
      <c r="G289" s="231"/>
      <c r="H289" s="237"/>
      <c r="I289" s="251"/>
      <c r="J289" s="251"/>
      <c r="K289" s="266"/>
      <c r="L289" s="266"/>
      <c r="M289" s="266"/>
      <c r="N289" s="266"/>
      <c r="O289" s="266"/>
      <c r="P289" s="266"/>
      <c r="Q289" s="266"/>
      <c r="R289" s="266"/>
      <c r="S289" s="266"/>
      <c r="T289" s="266"/>
      <c r="U289" s="266"/>
      <c r="V289" s="266"/>
      <c r="W289" s="266"/>
      <c r="X289" s="266"/>
      <c r="Y289" s="266"/>
      <c r="Z289" s="266"/>
      <c r="AA289" s="266"/>
      <c r="AB289" s="266"/>
      <c r="AC289" s="266"/>
      <c r="AD289" s="266"/>
      <c r="AE289" s="266"/>
      <c r="AF289" s="266"/>
      <c r="AG289" s="266"/>
      <c r="AH289" s="266"/>
      <c r="AI289" s="266"/>
      <c r="AJ289" s="266"/>
      <c r="AK289" s="266"/>
      <c r="AL289" s="266"/>
      <c r="AM289" s="266"/>
      <c r="AN289" s="266"/>
      <c r="AO289" s="266"/>
      <c r="AP289" s="266"/>
      <c r="AQ289" s="266"/>
      <c r="AR289" s="266"/>
      <c r="AS289" s="266"/>
      <c r="AT289" s="266"/>
      <c r="AU289" s="266"/>
      <c r="AV289" s="266"/>
      <c r="AW289" s="266"/>
      <c r="AX289" s="266"/>
      <c r="AY289" s="266"/>
      <c r="AZ289" s="266"/>
      <c r="BA289" s="266"/>
      <c r="BB289" s="266"/>
      <c r="BC289" s="266"/>
      <c r="BD289" s="266"/>
      <c r="BE289" s="266"/>
      <c r="BF289" s="266"/>
      <c r="BG289" s="266"/>
    </row>
    <row r="290" spans="1:59" x14ac:dyDescent="0.2">
      <c r="A290" s="47">
        <v>5311</v>
      </c>
      <c r="B290" s="48">
        <v>5492</v>
      </c>
      <c r="C290" s="46" t="s">
        <v>41</v>
      </c>
      <c r="D290" s="66">
        <v>20</v>
      </c>
      <c r="E290" s="66">
        <v>20</v>
      </c>
      <c r="F290" s="129">
        <v>0</v>
      </c>
      <c r="G290" s="231">
        <v>20</v>
      </c>
      <c r="H290" s="237"/>
    </row>
    <row r="291" spans="1:59" x14ac:dyDescent="0.2">
      <c r="A291" s="47">
        <v>5311</v>
      </c>
      <c r="B291" s="48">
        <v>5319</v>
      </c>
      <c r="C291" s="46" t="s">
        <v>222</v>
      </c>
      <c r="D291" s="66">
        <v>10</v>
      </c>
      <c r="E291" s="66">
        <v>10</v>
      </c>
      <c r="F291" s="129">
        <v>0</v>
      </c>
      <c r="G291" s="231">
        <v>10</v>
      </c>
      <c r="H291" s="237"/>
    </row>
    <row r="292" spans="1:59" x14ac:dyDescent="0.2">
      <c r="A292" s="47">
        <v>5311</v>
      </c>
      <c r="B292" s="48">
        <v>5171</v>
      </c>
      <c r="C292" s="46" t="s">
        <v>258</v>
      </c>
      <c r="D292" s="66">
        <v>100</v>
      </c>
      <c r="E292" s="66">
        <v>100</v>
      </c>
      <c r="F292" s="129">
        <v>0</v>
      </c>
      <c r="G292" s="231">
        <v>100</v>
      </c>
      <c r="H292" s="237"/>
    </row>
    <row r="293" spans="1:59" s="3" customFormat="1" ht="15.75" x14ac:dyDescent="0.25">
      <c r="A293" s="24">
        <v>5311</v>
      </c>
      <c r="B293" s="25"/>
      <c r="C293" s="57" t="s">
        <v>52</v>
      </c>
      <c r="D293" s="67">
        <f>SUM(D290:D292)</f>
        <v>130</v>
      </c>
      <c r="E293" s="67">
        <f>SUM(E290:E292)</f>
        <v>130</v>
      </c>
      <c r="F293" s="130">
        <f>SUM(F290:F292)</f>
        <v>0</v>
      </c>
      <c r="G293" s="233">
        <f>SUM(G290:G292)</f>
        <v>130</v>
      </c>
      <c r="H293" s="239">
        <f>G293</f>
        <v>130</v>
      </c>
      <c r="I293" s="251"/>
      <c r="J293" s="251"/>
      <c r="K293" s="265"/>
      <c r="L293" s="265"/>
      <c r="M293" s="265"/>
      <c r="N293" s="265"/>
      <c r="O293" s="265"/>
      <c r="P293" s="265"/>
      <c r="Q293" s="265"/>
      <c r="R293" s="265"/>
      <c r="S293" s="265"/>
      <c r="T293" s="265"/>
      <c r="U293" s="265"/>
      <c r="V293" s="265"/>
      <c r="W293" s="265"/>
      <c r="X293" s="265"/>
      <c r="Y293" s="265"/>
      <c r="Z293" s="265"/>
      <c r="AA293" s="265"/>
      <c r="AB293" s="265"/>
      <c r="AC293" s="265"/>
      <c r="AD293" s="265"/>
      <c r="AE293" s="265"/>
      <c r="AF293" s="265"/>
      <c r="AG293" s="265"/>
      <c r="AH293" s="265"/>
      <c r="AI293" s="265"/>
      <c r="AJ293" s="265"/>
      <c r="AK293" s="265"/>
      <c r="AL293" s="265"/>
      <c r="AM293" s="265"/>
      <c r="AN293" s="265"/>
      <c r="AO293" s="265"/>
      <c r="AP293" s="265"/>
      <c r="AQ293" s="265"/>
      <c r="AR293" s="265"/>
      <c r="AS293" s="265"/>
      <c r="AT293" s="265"/>
      <c r="AU293" s="265"/>
      <c r="AV293" s="265"/>
      <c r="AW293" s="265"/>
      <c r="AX293" s="265"/>
      <c r="AY293" s="265"/>
      <c r="AZ293" s="265"/>
      <c r="BA293" s="265"/>
      <c r="BB293" s="265"/>
      <c r="BC293" s="265"/>
      <c r="BD293" s="265"/>
      <c r="BE293" s="265"/>
      <c r="BF293" s="265"/>
      <c r="BG293" s="265"/>
    </row>
    <row r="294" spans="1:59" s="3" customFormat="1" ht="15.75" x14ac:dyDescent="0.25">
      <c r="A294" s="27"/>
      <c r="B294" s="28"/>
      <c r="C294" s="59"/>
      <c r="D294" s="66"/>
      <c r="E294" s="66"/>
      <c r="F294" s="130"/>
      <c r="G294" s="231"/>
      <c r="H294" s="237"/>
      <c r="I294" s="251"/>
      <c r="J294" s="251"/>
      <c r="K294" s="265"/>
      <c r="L294" s="265"/>
      <c r="M294" s="265"/>
      <c r="N294" s="265"/>
      <c r="O294" s="265"/>
      <c r="P294" s="265"/>
      <c r="Q294" s="265"/>
      <c r="R294" s="265"/>
      <c r="S294" s="265"/>
      <c r="T294" s="265"/>
      <c r="U294" s="265"/>
      <c r="V294" s="265"/>
      <c r="W294" s="265"/>
      <c r="X294" s="265"/>
      <c r="Y294" s="265"/>
      <c r="Z294" s="265"/>
      <c r="AA294" s="265"/>
      <c r="AB294" s="265"/>
      <c r="AC294" s="265"/>
      <c r="AD294" s="265"/>
      <c r="AE294" s="265"/>
      <c r="AF294" s="265"/>
      <c r="AG294" s="265"/>
      <c r="AH294" s="265"/>
      <c r="AI294" s="265"/>
      <c r="AJ294" s="265"/>
      <c r="AK294" s="265"/>
      <c r="AL294" s="265"/>
      <c r="AM294" s="265"/>
      <c r="AN294" s="265"/>
      <c r="AO294" s="265"/>
      <c r="AP294" s="265"/>
      <c r="AQ294" s="265"/>
      <c r="AR294" s="265"/>
      <c r="AS294" s="265"/>
      <c r="AT294" s="265"/>
      <c r="AU294" s="265"/>
      <c r="AV294" s="265"/>
      <c r="AW294" s="265"/>
      <c r="AX294" s="265"/>
      <c r="AY294" s="265"/>
      <c r="AZ294" s="265"/>
      <c r="BA294" s="265"/>
      <c r="BB294" s="265"/>
      <c r="BC294" s="265"/>
      <c r="BD294" s="265"/>
      <c r="BE294" s="265"/>
      <c r="BF294" s="265"/>
      <c r="BG294" s="265"/>
    </row>
    <row r="295" spans="1:59" s="160" customFormat="1" x14ac:dyDescent="0.2">
      <c r="A295" s="8">
        <v>5512</v>
      </c>
      <c r="B295" s="45">
        <v>5123</v>
      </c>
      <c r="C295" s="62" t="s">
        <v>348</v>
      </c>
      <c r="D295" s="66">
        <v>0</v>
      </c>
      <c r="E295" s="66">
        <v>18</v>
      </c>
      <c r="F295" s="129">
        <v>0</v>
      </c>
      <c r="G295" s="231">
        <v>18</v>
      </c>
      <c r="H295" s="237"/>
      <c r="I295" s="251"/>
      <c r="J295" s="251"/>
      <c r="K295" s="251"/>
      <c r="L295" s="251"/>
      <c r="M295" s="251"/>
      <c r="N295" s="251"/>
      <c r="O295" s="251"/>
      <c r="P295" s="251"/>
      <c r="Q295" s="251"/>
      <c r="R295" s="251"/>
      <c r="S295" s="251"/>
      <c r="T295" s="251"/>
      <c r="U295" s="251"/>
      <c r="V295" s="251"/>
      <c r="W295" s="251"/>
      <c r="X295" s="251"/>
      <c r="Y295" s="251"/>
      <c r="Z295" s="251"/>
      <c r="AA295" s="251"/>
      <c r="AB295" s="251"/>
      <c r="AC295" s="251"/>
      <c r="AD295" s="251"/>
      <c r="AE295" s="251"/>
      <c r="AF295" s="251"/>
      <c r="AG295" s="251"/>
      <c r="AH295" s="251"/>
      <c r="AI295" s="251"/>
      <c r="AJ295" s="251"/>
      <c r="AK295" s="251"/>
      <c r="AL295" s="251"/>
      <c r="AM295" s="251"/>
      <c r="AN295" s="251"/>
      <c r="AO295" s="251"/>
      <c r="AP295" s="251"/>
      <c r="AQ295" s="251"/>
      <c r="AR295" s="251"/>
      <c r="AS295" s="251"/>
      <c r="AT295" s="251"/>
      <c r="AU295" s="251"/>
      <c r="AV295" s="251"/>
      <c r="AW295" s="251"/>
      <c r="AX295" s="251"/>
      <c r="AY295" s="251"/>
      <c r="AZ295" s="251"/>
      <c r="BA295" s="251"/>
      <c r="BB295" s="251"/>
      <c r="BC295" s="251"/>
      <c r="BD295" s="251"/>
      <c r="BE295" s="251"/>
      <c r="BF295" s="251"/>
      <c r="BG295" s="251"/>
    </row>
    <row r="296" spans="1:59" s="3" customFormat="1" x14ac:dyDescent="0.2">
      <c r="A296" s="8">
        <v>5512</v>
      </c>
      <c r="B296" s="45">
        <v>5132</v>
      </c>
      <c r="C296" s="62" t="s">
        <v>43</v>
      </c>
      <c r="D296" s="66">
        <v>65</v>
      </c>
      <c r="E296" s="66">
        <v>45</v>
      </c>
      <c r="F296" s="129">
        <v>3025</v>
      </c>
      <c r="G296" s="231">
        <v>65</v>
      </c>
      <c r="H296" s="237"/>
      <c r="I296" s="251"/>
      <c r="J296" s="251"/>
      <c r="K296" s="265"/>
      <c r="L296" s="265"/>
      <c r="M296" s="265"/>
      <c r="N296" s="265"/>
      <c r="O296" s="265"/>
      <c r="P296" s="265"/>
      <c r="Q296" s="265"/>
      <c r="R296" s="265"/>
      <c r="S296" s="265"/>
      <c r="T296" s="265"/>
      <c r="U296" s="265"/>
      <c r="V296" s="265"/>
      <c r="W296" s="265"/>
      <c r="X296" s="265"/>
      <c r="Y296" s="265"/>
      <c r="Z296" s="265"/>
      <c r="AA296" s="265"/>
      <c r="AB296" s="265"/>
      <c r="AC296" s="265"/>
      <c r="AD296" s="265"/>
      <c r="AE296" s="265"/>
      <c r="AF296" s="265"/>
      <c r="AG296" s="265"/>
      <c r="AH296" s="265"/>
      <c r="AI296" s="265"/>
      <c r="AJ296" s="265"/>
      <c r="AK296" s="265"/>
      <c r="AL296" s="265"/>
      <c r="AM296" s="265"/>
      <c r="AN296" s="265"/>
      <c r="AO296" s="265"/>
      <c r="AP296" s="265"/>
      <c r="AQ296" s="265"/>
      <c r="AR296" s="265"/>
      <c r="AS296" s="265"/>
      <c r="AT296" s="265"/>
      <c r="AU296" s="265"/>
      <c r="AV296" s="265"/>
      <c r="AW296" s="265"/>
      <c r="AX296" s="265"/>
      <c r="AY296" s="265"/>
      <c r="AZ296" s="265"/>
      <c r="BA296" s="265"/>
      <c r="BB296" s="265"/>
      <c r="BC296" s="265"/>
      <c r="BD296" s="265"/>
      <c r="BE296" s="265"/>
      <c r="BF296" s="265"/>
      <c r="BG296" s="265"/>
    </row>
    <row r="297" spans="1:59" s="3" customFormat="1" x14ac:dyDescent="0.2">
      <c r="A297" s="105">
        <v>5512</v>
      </c>
      <c r="B297" s="106">
        <v>5132</v>
      </c>
      <c r="C297" s="107" t="s">
        <v>304</v>
      </c>
      <c r="D297" s="205">
        <v>0</v>
      </c>
      <c r="E297" s="204">
        <v>162</v>
      </c>
      <c r="F297" s="224">
        <v>10451.86</v>
      </c>
      <c r="G297" s="231">
        <v>0</v>
      </c>
      <c r="H297" s="237"/>
      <c r="I297" s="251"/>
      <c r="J297" s="251"/>
      <c r="K297" s="265"/>
      <c r="L297" s="265"/>
      <c r="M297" s="265"/>
      <c r="N297" s="265"/>
      <c r="O297" s="265"/>
      <c r="P297" s="265"/>
      <c r="Q297" s="265"/>
      <c r="R297" s="265"/>
      <c r="S297" s="265"/>
      <c r="T297" s="265"/>
      <c r="U297" s="265"/>
      <c r="V297" s="265"/>
      <c r="W297" s="265"/>
      <c r="X297" s="265"/>
      <c r="Y297" s="265"/>
      <c r="Z297" s="265"/>
      <c r="AA297" s="265"/>
      <c r="AB297" s="265"/>
      <c r="AC297" s="265"/>
      <c r="AD297" s="265"/>
      <c r="AE297" s="265"/>
      <c r="AF297" s="265"/>
      <c r="AG297" s="265"/>
      <c r="AH297" s="265"/>
      <c r="AI297" s="265"/>
      <c r="AJ297" s="265"/>
      <c r="AK297" s="265"/>
      <c r="AL297" s="265"/>
      <c r="AM297" s="265"/>
      <c r="AN297" s="265"/>
      <c r="AO297" s="265"/>
      <c r="AP297" s="265"/>
      <c r="AQ297" s="265"/>
      <c r="AR297" s="265"/>
      <c r="AS297" s="265"/>
      <c r="AT297" s="265"/>
      <c r="AU297" s="265"/>
      <c r="AV297" s="265"/>
      <c r="AW297" s="265"/>
      <c r="AX297" s="265"/>
      <c r="AY297" s="265"/>
      <c r="AZ297" s="265"/>
      <c r="BA297" s="265"/>
      <c r="BB297" s="265"/>
      <c r="BC297" s="265"/>
      <c r="BD297" s="265"/>
      <c r="BE297" s="265"/>
      <c r="BF297" s="265"/>
      <c r="BG297" s="265"/>
    </row>
    <row r="298" spans="1:59" s="3" customFormat="1" x14ac:dyDescent="0.2">
      <c r="A298" s="47">
        <v>5512</v>
      </c>
      <c r="B298" s="48">
        <v>5137</v>
      </c>
      <c r="C298" s="46" t="s">
        <v>44</v>
      </c>
      <c r="D298" s="66">
        <v>60</v>
      </c>
      <c r="E298" s="66">
        <v>60</v>
      </c>
      <c r="F298" s="129">
        <f>10364+29369</f>
        <v>39733</v>
      </c>
      <c r="G298" s="231">
        <v>65</v>
      </c>
      <c r="H298" s="237"/>
      <c r="I298" s="251"/>
      <c r="J298" s="251"/>
      <c r="K298" s="265"/>
      <c r="L298" s="265"/>
      <c r="M298" s="265"/>
      <c r="N298" s="265"/>
      <c r="O298" s="265"/>
      <c r="P298" s="265"/>
      <c r="Q298" s="265"/>
      <c r="R298" s="265"/>
      <c r="S298" s="265"/>
      <c r="T298" s="265"/>
      <c r="U298" s="265"/>
      <c r="V298" s="265"/>
      <c r="W298" s="265"/>
      <c r="X298" s="265"/>
      <c r="Y298" s="265"/>
      <c r="Z298" s="265"/>
      <c r="AA298" s="265"/>
      <c r="AB298" s="265"/>
      <c r="AC298" s="265"/>
      <c r="AD298" s="265"/>
      <c r="AE298" s="265"/>
      <c r="AF298" s="265"/>
      <c r="AG298" s="265"/>
      <c r="AH298" s="265"/>
      <c r="AI298" s="265"/>
      <c r="AJ298" s="265"/>
      <c r="AK298" s="265"/>
      <c r="AL298" s="265"/>
      <c r="AM298" s="265"/>
      <c r="AN298" s="265"/>
      <c r="AO298" s="265"/>
      <c r="AP298" s="265"/>
      <c r="AQ298" s="265"/>
      <c r="AR298" s="265"/>
      <c r="AS298" s="265"/>
      <c r="AT298" s="265"/>
      <c r="AU298" s="265"/>
      <c r="AV298" s="265"/>
      <c r="AW298" s="265"/>
      <c r="AX298" s="265"/>
      <c r="AY298" s="265"/>
      <c r="AZ298" s="265"/>
      <c r="BA298" s="265"/>
      <c r="BB298" s="265"/>
      <c r="BC298" s="265"/>
      <c r="BD298" s="265"/>
      <c r="BE298" s="265"/>
      <c r="BF298" s="265"/>
      <c r="BG298" s="265"/>
    </row>
    <row r="299" spans="1:59" s="3" customFormat="1" x14ac:dyDescent="0.2">
      <c r="A299" s="105">
        <v>5512</v>
      </c>
      <c r="B299" s="106">
        <v>5137</v>
      </c>
      <c r="C299" s="107" t="s">
        <v>318</v>
      </c>
      <c r="D299" s="205">
        <v>0</v>
      </c>
      <c r="E299" s="205">
        <v>80.5</v>
      </c>
      <c r="F299" s="224">
        <v>80465</v>
      </c>
      <c r="G299" s="231">
        <v>0</v>
      </c>
      <c r="H299" s="237"/>
      <c r="I299" s="251"/>
      <c r="J299" s="251"/>
      <c r="K299" s="265"/>
      <c r="L299" s="265"/>
      <c r="M299" s="265"/>
      <c r="N299" s="265"/>
      <c r="O299" s="265"/>
      <c r="P299" s="265"/>
      <c r="Q299" s="265"/>
      <c r="R299" s="265"/>
      <c r="S299" s="265"/>
      <c r="T299" s="265"/>
      <c r="U299" s="265"/>
      <c r="V299" s="265"/>
      <c r="W299" s="265"/>
      <c r="X299" s="265"/>
      <c r="Y299" s="265"/>
      <c r="Z299" s="265"/>
      <c r="AA299" s="265"/>
      <c r="AB299" s="265"/>
      <c r="AC299" s="265"/>
      <c r="AD299" s="265"/>
      <c r="AE299" s="265"/>
      <c r="AF299" s="265"/>
      <c r="AG299" s="265"/>
      <c r="AH299" s="265"/>
      <c r="AI299" s="265"/>
      <c r="AJ299" s="265"/>
      <c r="AK299" s="265"/>
      <c r="AL299" s="265"/>
      <c r="AM299" s="265"/>
      <c r="AN299" s="265"/>
      <c r="AO299" s="265"/>
      <c r="AP299" s="265"/>
      <c r="AQ299" s="265"/>
      <c r="AR299" s="265"/>
      <c r="AS299" s="265"/>
      <c r="AT299" s="265"/>
      <c r="AU299" s="265"/>
      <c r="AV299" s="265"/>
      <c r="AW299" s="265"/>
      <c r="AX299" s="265"/>
      <c r="AY299" s="265"/>
      <c r="AZ299" s="265"/>
      <c r="BA299" s="265"/>
      <c r="BB299" s="265"/>
      <c r="BC299" s="265"/>
      <c r="BD299" s="265"/>
      <c r="BE299" s="265"/>
      <c r="BF299" s="265"/>
      <c r="BG299" s="265"/>
    </row>
    <row r="300" spans="1:59" s="3" customFormat="1" x14ac:dyDescent="0.2">
      <c r="A300" s="105">
        <v>5512</v>
      </c>
      <c r="B300" s="106">
        <v>5137</v>
      </c>
      <c r="C300" s="107" t="s">
        <v>319</v>
      </c>
      <c r="D300" s="205">
        <v>0</v>
      </c>
      <c r="E300" s="205">
        <v>28</v>
      </c>
      <c r="F300" s="224">
        <f>108416-80465</f>
        <v>27951</v>
      </c>
      <c r="G300" s="231">
        <v>0</v>
      </c>
      <c r="H300" s="237"/>
      <c r="I300" s="251"/>
      <c r="J300" s="251"/>
      <c r="K300" s="265"/>
      <c r="L300" s="265"/>
      <c r="M300" s="265"/>
      <c r="N300" s="265"/>
      <c r="O300" s="265"/>
      <c r="P300" s="265"/>
      <c r="Q300" s="265"/>
      <c r="R300" s="265"/>
      <c r="S300" s="265"/>
      <c r="T300" s="265"/>
      <c r="U300" s="265"/>
      <c r="V300" s="265"/>
      <c r="W300" s="265"/>
      <c r="X300" s="265"/>
      <c r="Y300" s="265"/>
      <c r="Z300" s="265"/>
      <c r="AA300" s="265"/>
      <c r="AB300" s="265"/>
      <c r="AC300" s="265"/>
      <c r="AD300" s="265"/>
      <c r="AE300" s="265"/>
      <c r="AF300" s="265"/>
      <c r="AG300" s="265"/>
      <c r="AH300" s="265"/>
      <c r="AI300" s="265"/>
      <c r="AJ300" s="265"/>
      <c r="AK300" s="265"/>
      <c r="AL300" s="265"/>
      <c r="AM300" s="265"/>
      <c r="AN300" s="265"/>
      <c r="AO300" s="265"/>
      <c r="AP300" s="265"/>
      <c r="AQ300" s="265"/>
      <c r="AR300" s="265"/>
      <c r="AS300" s="265"/>
      <c r="AT300" s="265"/>
      <c r="AU300" s="265"/>
      <c r="AV300" s="265"/>
      <c r="AW300" s="265"/>
      <c r="AX300" s="265"/>
      <c r="AY300" s="265"/>
      <c r="AZ300" s="265"/>
      <c r="BA300" s="265"/>
      <c r="BB300" s="265"/>
      <c r="BC300" s="265"/>
      <c r="BD300" s="265"/>
      <c r="BE300" s="265"/>
      <c r="BF300" s="265"/>
      <c r="BG300" s="265"/>
    </row>
    <row r="301" spans="1:59" s="3" customFormat="1" x14ac:dyDescent="0.2">
      <c r="A301" s="105">
        <v>5512</v>
      </c>
      <c r="B301" s="106">
        <v>5137</v>
      </c>
      <c r="C301" s="107" t="s">
        <v>320</v>
      </c>
      <c r="D301" s="205">
        <v>0</v>
      </c>
      <c r="E301" s="205">
        <v>55</v>
      </c>
      <c r="F301" s="224">
        <f>55482</f>
        <v>55482</v>
      </c>
      <c r="G301" s="231">
        <v>0</v>
      </c>
      <c r="H301" s="237"/>
      <c r="I301" s="251"/>
      <c r="J301" s="251"/>
      <c r="K301" s="265"/>
      <c r="L301" s="265"/>
      <c r="M301" s="265"/>
      <c r="N301" s="265"/>
      <c r="O301" s="265"/>
      <c r="P301" s="265"/>
      <c r="Q301" s="265"/>
      <c r="R301" s="265"/>
      <c r="S301" s="265"/>
      <c r="T301" s="265"/>
      <c r="U301" s="265"/>
      <c r="V301" s="265"/>
      <c r="W301" s="265"/>
      <c r="X301" s="265"/>
      <c r="Y301" s="265"/>
      <c r="Z301" s="265"/>
      <c r="AA301" s="265"/>
      <c r="AB301" s="265"/>
      <c r="AC301" s="265"/>
      <c r="AD301" s="265"/>
      <c r="AE301" s="265"/>
      <c r="AF301" s="265"/>
      <c r="AG301" s="265"/>
      <c r="AH301" s="265"/>
      <c r="AI301" s="265"/>
      <c r="AJ301" s="265"/>
      <c r="AK301" s="265"/>
      <c r="AL301" s="265"/>
      <c r="AM301" s="265"/>
      <c r="AN301" s="265"/>
      <c r="AO301" s="265"/>
      <c r="AP301" s="265"/>
      <c r="AQ301" s="265"/>
      <c r="AR301" s="265"/>
      <c r="AS301" s="265"/>
      <c r="AT301" s="265"/>
      <c r="AU301" s="265"/>
      <c r="AV301" s="265"/>
      <c r="AW301" s="265"/>
      <c r="AX301" s="265"/>
      <c r="AY301" s="265"/>
      <c r="AZ301" s="265"/>
      <c r="BA301" s="265"/>
      <c r="BB301" s="265"/>
      <c r="BC301" s="265"/>
      <c r="BD301" s="265"/>
      <c r="BE301" s="265"/>
      <c r="BF301" s="265"/>
      <c r="BG301" s="265"/>
    </row>
    <row r="302" spans="1:59" s="3" customFormat="1" x14ac:dyDescent="0.2">
      <c r="A302" s="47">
        <v>5512</v>
      </c>
      <c r="B302" s="48">
        <v>5139</v>
      </c>
      <c r="C302" s="46" t="s">
        <v>45</v>
      </c>
      <c r="D302" s="66">
        <v>60</v>
      </c>
      <c r="E302" s="66">
        <v>50</v>
      </c>
      <c r="F302" s="129">
        <v>42375.040000000001</v>
      </c>
      <c r="G302" s="231">
        <v>60</v>
      </c>
      <c r="H302" s="237"/>
      <c r="I302" s="251"/>
      <c r="J302" s="251"/>
      <c r="K302" s="265"/>
      <c r="L302" s="265"/>
      <c r="M302" s="265"/>
      <c r="N302" s="265"/>
      <c r="O302" s="265"/>
      <c r="P302" s="265"/>
      <c r="Q302" s="265"/>
      <c r="R302" s="265"/>
      <c r="S302" s="265"/>
      <c r="T302" s="265"/>
      <c r="U302" s="265"/>
      <c r="V302" s="265"/>
      <c r="W302" s="265"/>
      <c r="X302" s="265"/>
      <c r="Y302" s="265"/>
      <c r="Z302" s="265"/>
      <c r="AA302" s="265"/>
      <c r="AB302" s="265"/>
      <c r="AC302" s="265"/>
      <c r="AD302" s="265"/>
      <c r="AE302" s="265"/>
      <c r="AF302" s="265"/>
      <c r="AG302" s="265"/>
      <c r="AH302" s="265"/>
      <c r="AI302" s="265"/>
      <c r="AJ302" s="265"/>
      <c r="AK302" s="265"/>
      <c r="AL302" s="265"/>
      <c r="AM302" s="265"/>
      <c r="AN302" s="265"/>
      <c r="AO302" s="265"/>
      <c r="AP302" s="265"/>
      <c r="AQ302" s="265"/>
      <c r="AR302" s="265"/>
      <c r="AS302" s="265"/>
      <c r="AT302" s="265"/>
      <c r="AU302" s="265"/>
      <c r="AV302" s="265"/>
      <c r="AW302" s="265"/>
      <c r="AX302" s="265"/>
      <c r="AY302" s="265"/>
      <c r="AZ302" s="265"/>
      <c r="BA302" s="265"/>
      <c r="BB302" s="265"/>
      <c r="BC302" s="265"/>
      <c r="BD302" s="265"/>
      <c r="BE302" s="265"/>
      <c r="BF302" s="265"/>
      <c r="BG302" s="265"/>
    </row>
    <row r="303" spans="1:59" s="3" customFormat="1" x14ac:dyDescent="0.2">
      <c r="A303" s="105">
        <v>5512</v>
      </c>
      <c r="B303" s="106">
        <v>5139</v>
      </c>
      <c r="C303" s="107" t="s">
        <v>197</v>
      </c>
      <c r="D303" s="205">
        <v>0</v>
      </c>
      <c r="E303" s="205">
        <v>37</v>
      </c>
      <c r="F303" s="224">
        <v>3222.23</v>
      </c>
      <c r="G303" s="231">
        <v>0</v>
      </c>
      <c r="H303" s="237"/>
      <c r="I303" s="251"/>
      <c r="J303" s="251"/>
      <c r="K303" s="265"/>
      <c r="L303" s="265"/>
      <c r="M303" s="265"/>
      <c r="N303" s="265"/>
      <c r="O303" s="265"/>
      <c r="P303" s="265"/>
      <c r="Q303" s="265"/>
      <c r="R303" s="265"/>
      <c r="S303" s="265"/>
      <c r="T303" s="265"/>
      <c r="U303" s="265"/>
      <c r="V303" s="265"/>
      <c r="W303" s="265"/>
      <c r="X303" s="265"/>
      <c r="Y303" s="265"/>
      <c r="Z303" s="265"/>
      <c r="AA303" s="265"/>
      <c r="AB303" s="265"/>
      <c r="AC303" s="265"/>
      <c r="AD303" s="265"/>
      <c r="AE303" s="265"/>
      <c r="AF303" s="265"/>
      <c r="AG303" s="265"/>
      <c r="AH303" s="265"/>
      <c r="AI303" s="265"/>
      <c r="AJ303" s="265"/>
      <c r="AK303" s="265"/>
      <c r="AL303" s="265"/>
      <c r="AM303" s="265"/>
      <c r="AN303" s="265"/>
      <c r="AO303" s="265"/>
      <c r="AP303" s="265"/>
      <c r="AQ303" s="265"/>
      <c r="AR303" s="265"/>
      <c r="AS303" s="265"/>
      <c r="AT303" s="265"/>
      <c r="AU303" s="265"/>
      <c r="AV303" s="265"/>
      <c r="AW303" s="265"/>
      <c r="AX303" s="265"/>
      <c r="AY303" s="265"/>
      <c r="AZ303" s="265"/>
      <c r="BA303" s="265"/>
      <c r="BB303" s="265"/>
      <c r="BC303" s="265"/>
      <c r="BD303" s="265"/>
      <c r="BE303" s="265"/>
      <c r="BF303" s="265"/>
      <c r="BG303" s="265"/>
    </row>
    <row r="304" spans="1:59" s="3" customFormat="1" x14ac:dyDescent="0.2">
      <c r="A304" s="47">
        <v>5512</v>
      </c>
      <c r="B304" s="48">
        <v>5151</v>
      </c>
      <c r="C304" s="46" t="s">
        <v>10</v>
      </c>
      <c r="D304" s="66">
        <v>10</v>
      </c>
      <c r="E304" s="66">
        <v>10</v>
      </c>
      <c r="F304" s="129">
        <v>6940</v>
      </c>
      <c r="G304" s="231">
        <v>10</v>
      </c>
      <c r="H304" s="237"/>
      <c r="I304" s="251"/>
      <c r="J304" s="251"/>
      <c r="K304" s="265"/>
      <c r="L304" s="265"/>
      <c r="M304" s="265"/>
      <c r="N304" s="265"/>
      <c r="O304" s="265"/>
      <c r="P304" s="265"/>
      <c r="Q304" s="265"/>
      <c r="R304" s="265"/>
      <c r="S304" s="265"/>
      <c r="T304" s="265"/>
      <c r="U304" s="265"/>
      <c r="V304" s="265"/>
      <c r="W304" s="265"/>
      <c r="X304" s="265"/>
      <c r="Y304" s="265"/>
      <c r="Z304" s="265"/>
      <c r="AA304" s="265"/>
      <c r="AB304" s="265"/>
      <c r="AC304" s="265"/>
      <c r="AD304" s="265"/>
      <c r="AE304" s="265"/>
      <c r="AF304" s="265"/>
      <c r="AG304" s="265"/>
      <c r="AH304" s="265"/>
      <c r="AI304" s="265"/>
      <c r="AJ304" s="265"/>
      <c r="AK304" s="265"/>
      <c r="AL304" s="265"/>
      <c r="AM304" s="265"/>
      <c r="AN304" s="265"/>
      <c r="AO304" s="265"/>
      <c r="AP304" s="265"/>
      <c r="AQ304" s="265"/>
      <c r="AR304" s="265"/>
      <c r="AS304" s="265"/>
      <c r="AT304" s="265"/>
      <c r="AU304" s="265"/>
      <c r="AV304" s="265"/>
      <c r="AW304" s="265"/>
      <c r="AX304" s="265"/>
      <c r="AY304" s="265"/>
      <c r="AZ304" s="265"/>
      <c r="BA304" s="265"/>
      <c r="BB304" s="265"/>
      <c r="BC304" s="265"/>
      <c r="BD304" s="265"/>
      <c r="BE304" s="265"/>
      <c r="BF304" s="265"/>
      <c r="BG304" s="265"/>
    </row>
    <row r="305" spans="1:59" s="3" customFormat="1" x14ac:dyDescent="0.2">
      <c r="A305" s="47">
        <v>5512</v>
      </c>
      <c r="B305" s="48">
        <v>5153</v>
      </c>
      <c r="C305" s="46" t="s">
        <v>11</v>
      </c>
      <c r="D305" s="66">
        <v>250</v>
      </c>
      <c r="E305" s="66">
        <v>200</v>
      </c>
      <c r="F305" s="129">
        <v>148800</v>
      </c>
      <c r="G305" s="231">
        <v>200</v>
      </c>
      <c r="H305" s="237"/>
      <c r="I305" s="251"/>
      <c r="J305" s="251"/>
      <c r="K305" s="265"/>
      <c r="L305" s="265"/>
      <c r="M305" s="265"/>
      <c r="N305" s="265"/>
      <c r="O305" s="265"/>
      <c r="P305" s="265"/>
      <c r="Q305" s="265"/>
      <c r="R305" s="265"/>
      <c r="S305" s="265"/>
      <c r="T305" s="265"/>
      <c r="U305" s="265"/>
      <c r="V305" s="265"/>
      <c r="W305" s="265"/>
      <c r="X305" s="265"/>
      <c r="Y305" s="265"/>
      <c r="Z305" s="265"/>
      <c r="AA305" s="265"/>
      <c r="AB305" s="265"/>
      <c r="AC305" s="265"/>
      <c r="AD305" s="265"/>
      <c r="AE305" s="265"/>
      <c r="AF305" s="265"/>
      <c r="AG305" s="265"/>
      <c r="AH305" s="265"/>
      <c r="AI305" s="265"/>
      <c r="AJ305" s="265"/>
      <c r="AK305" s="265"/>
      <c r="AL305" s="265"/>
      <c r="AM305" s="265"/>
      <c r="AN305" s="265"/>
      <c r="AO305" s="265"/>
      <c r="AP305" s="265"/>
      <c r="AQ305" s="265"/>
      <c r="AR305" s="265"/>
      <c r="AS305" s="265"/>
      <c r="AT305" s="265"/>
      <c r="AU305" s="265"/>
      <c r="AV305" s="265"/>
      <c r="AW305" s="265"/>
      <c r="AX305" s="265"/>
      <c r="AY305" s="265"/>
      <c r="AZ305" s="265"/>
      <c r="BA305" s="265"/>
      <c r="BB305" s="265"/>
      <c r="BC305" s="265"/>
      <c r="BD305" s="265"/>
      <c r="BE305" s="265"/>
      <c r="BF305" s="265"/>
      <c r="BG305" s="265"/>
    </row>
    <row r="306" spans="1:59" s="3" customFormat="1" x14ac:dyDescent="0.2">
      <c r="A306" s="47">
        <v>5512</v>
      </c>
      <c r="B306" s="48">
        <v>5154</v>
      </c>
      <c r="C306" s="46" t="s">
        <v>12</v>
      </c>
      <c r="D306" s="66">
        <v>60</v>
      </c>
      <c r="E306" s="66">
        <v>60</v>
      </c>
      <c r="F306" s="129">
        <v>22373</v>
      </c>
      <c r="G306" s="231">
        <v>45</v>
      </c>
      <c r="H306" s="237"/>
      <c r="I306" s="251"/>
      <c r="J306" s="251"/>
      <c r="K306" s="265"/>
      <c r="L306" s="265"/>
      <c r="M306" s="265"/>
      <c r="N306" s="265"/>
      <c r="O306" s="265"/>
      <c r="P306" s="265"/>
      <c r="Q306" s="265"/>
      <c r="R306" s="265"/>
      <c r="S306" s="265"/>
      <c r="T306" s="265"/>
      <c r="U306" s="265"/>
      <c r="V306" s="265"/>
      <c r="W306" s="265"/>
      <c r="X306" s="265"/>
      <c r="Y306" s="265"/>
      <c r="Z306" s="265"/>
      <c r="AA306" s="265"/>
      <c r="AB306" s="265"/>
      <c r="AC306" s="265"/>
      <c r="AD306" s="265"/>
      <c r="AE306" s="265"/>
      <c r="AF306" s="265"/>
      <c r="AG306" s="265"/>
      <c r="AH306" s="265"/>
      <c r="AI306" s="265"/>
      <c r="AJ306" s="265"/>
      <c r="AK306" s="265"/>
      <c r="AL306" s="265"/>
      <c r="AM306" s="265"/>
      <c r="AN306" s="265"/>
      <c r="AO306" s="265"/>
      <c r="AP306" s="265"/>
      <c r="AQ306" s="265"/>
      <c r="AR306" s="265"/>
      <c r="AS306" s="265"/>
      <c r="AT306" s="265"/>
      <c r="AU306" s="265"/>
      <c r="AV306" s="265"/>
      <c r="AW306" s="265"/>
      <c r="AX306" s="265"/>
      <c r="AY306" s="265"/>
      <c r="AZ306" s="265"/>
      <c r="BA306" s="265"/>
      <c r="BB306" s="265"/>
      <c r="BC306" s="265"/>
      <c r="BD306" s="265"/>
      <c r="BE306" s="265"/>
      <c r="BF306" s="265"/>
      <c r="BG306" s="265"/>
    </row>
    <row r="307" spans="1:59" s="3" customFormat="1" x14ac:dyDescent="0.2">
      <c r="A307" s="47">
        <v>5512</v>
      </c>
      <c r="B307" s="48">
        <v>5156</v>
      </c>
      <c r="C307" s="46" t="s">
        <v>46</v>
      </c>
      <c r="D307" s="66">
        <v>80</v>
      </c>
      <c r="E307" s="66">
        <v>80</v>
      </c>
      <c r="F307" s="129">
        <f>35168.28-3222.23</f>
        <v>31946.05</v>
      </c>
      <c r="G307" s="231">
        <v>80</v>
      </c>
      <c r="H307" s="237"/>
      <c r="I307" s="251"/>
      <c r="J307" s="251"/>
      <c r="K307" s="265"/>
      <c r="L307" s="265"/>
      <c r="M307" s="265"/>
      <c r="N307" s="265"/>
      <c r="O307" s="265"/>
      <c r="P307" s="265"/>
      <c r="Q307" s="265"/>
      <c r="R307" s="265"/>
      <c r="S307" s="265"/>
      <c r="T307" s="265"/>
      <c r="U307" s="265"/>
      <c r="V307" s="265"/>
      <c r="W307" s="265"/>
      <c r="X307" s="265"/>
      <c r="Y307" s="265"/>
      <c r="Z307" s="265"/>
      <c r="AA307" s="265"/>
      <c r="AB307" s="265"/>
      <c r="AC307" s="265"/>
      <c r="AD307" s="265"/>
      <c r="AE307" s="265"/>
      <c r="AF307" s="265"/>
      <c r="AG307" s="265"/>
      <c r="AH307" s="265"/>
      <c r="AI307" s="265"/>
      <c r="AJ307" s="265"/>
      <c r="AK307" s="265"/>
      <c r="AL307" s="265"/>
      <c r="AM307" s="265"/>
      <c r="AN307" s="265"/>
      <c r="AO307" s="265"/>
      <c r="AP307" s="265"/>
      <c r="AQ307" s="265"/>
      <c r="AR307" s="265"/>
      <c r="AS307" s="265"/>
      <c r="AT307" s="265"/>
      <c r="AU307" s="265"/>
      <c r="AV307" s="265"/>
      <c r="AW307" s="265"/>
      <c r="AX307" s="265"/>
      <c r="AY307" s="265"/>
      <c r="AZ307" s="265"/>
      <c r="BA307" s="265"/>
      <c r="BB307" s="265"/>
      <c r="BC307" s="265"/>
      <c r="BD307" s="265"/>
      <c r="BE307" s="265"/>
      <c r="BF307" s="265"/>
      <c r="BG307" s="265"/>
    </row>
    <row r="308" spans="1:59" s="3" customFormat="1" x14ac:dyDescent="0.2">
      <c r="A308" s="47">
        <v>5512</v>
      </c>
      <c r="B308" s="48">
        <v>5162</v>
      </c>
      <c r="C308" s="46" t="s">
        <v>96</v>
      </c>
      <c r="D308" s="66">
        <v>22</v>
      </c>
      <c r="E308" s="66">
        <v>22</v>
      </c>
      <c r="F308" s="129">
        <v>14967.13</v>
      </c>
      <c r="G308" s="231">
        <v>20</v>
      </c>
      <c r="H308" s="237"/>
      <c r="I308" s="251"/>
      <c r="J308" s="251"/>
      <c r="K308" s="265"/>
      <c r="L308" s="265"/>
      <c r="M308" s="265"/>
      <c r="N308" s="265"/>
      <c r="O308" s="265"/>
      <c r="P308" s="265"/>
      <c r="Q308" s="265"/>
      <c r="R308" s="265"/>
      <c r="S308" s="265"/>
      <c r="T308" s="265"/>
      <c r="U308" s="265"/>
      <c r="V308" s="265"/>
      <c r="W308" s="265"/>
      <c r="X308" s="265"/>
      <c r="Y308" s="265"/>
      <c r="Z308" s="265"/>
      <c r="AA308" s="265"/>
      <c r="AB308" s="265"/>
      <c r="AC308" s="265"/>
      <c r="AD308" s="265"/>
      <c r="AE308" s="265"/>
      <c r="AF308" s="265"/>
      <c r="AG308" s="265"/>
      <c r="AH308" s="265"/>
      <c r="AI308" s="265"/>
      <c r="AJ308" s="265"/>
      <c r="AK308" s="265"/>
      <c r="AL308" s="265"/>
      <c r="AM308" s="265"/>
      <c r="AN308" s="265"/>
      <c r="AO308" s="265"/>
      <c r="AP308" s="265"/>
      <c r="AQ308" s="265"/>
      <c r="AR308" s="265"/>
      <c r="AS308" s="265"/>
      <c r="AT308" s="265"/>
      <c r="AU308" s="265"/>
      <c r="AV308" s="265"/>
      <c r="AW308" s="265"/>
      <c r="AX308" s="265"/>
      <c r="AY308" s="265"/>
      <c r="AZ308" s="265"/>
      <c r="BA308" s="265"/>
      <c r="BB308" s="265"/>
      <c r="BC308" s="265"/>
      <c r="BD308" s="265"/>
      <c r="BE308" s="265"/>
      <c r="BF308" s="265"/>
      <c r="BG308" s="265"/>
    </row>
    <row r="309" spans="1:59" s="3" customFormat="1" x14ac:dyDescent="0.2">
      <c r="A309" s="47">
        <v>5512</v>
      </c>
      <c r="B309" s="48">
        <v>5163</v>
      </c>
      <c r="C309" s="46" t="s">
        <v>124</v>
      </c>
      <c r="D309" s="66">
        <v>12</v>
      </c>
      <c r="E309" s="66">
        <v>13</v>
      </c>
      <c r="F309" s="129">
        <v>13008</v>
      </c>
      <c r="G309" s="231">
        <v>13</v>
      </c>
      <c r="H309" s="237"/>
      <c r="I309" s="251"/>
      <c r="J309" s="251"/>
      <c r="K309" s="265"/>
      <c r="L309" s="265"/>
      <c r="M309" s="265"/>
      <c r="N309" s="265"/>
      <c r="O309" s="265"/>
      <c r="P309" s="265"/>
      <c r="Q309" s="265"/>
      <c r="R309" s="265"/>
      <c r="S309" s="265"/>
      <c r="T309" s="265"/>
      <c r="U309" s="265"/>
      <c r="V309" s="265"/>
      <c r="W309" s="265"/>
      <c r="X309" s="265"/>
      <c r="Y309" s="265"/>
      <c r="Z309" s="265"/>
      <c r="AA309" s="265"/>
      <c r="AB309" s="265"/>
      <c r="AC309" s="265"/>
      <c r="AD309" s="265"/>
      <c r="AE309" s="265"/>
      <c r="AF309" s="265"/>
      <c r="AG309" s="265"/>
      <c r="AH309" s="265"/>
      <c r="AI309" s="265"/>
      <c r="AJ309" s="265"/>
      <c r="AK309" s="265"/>
      <c r="AL309" s="265"/>
      <c r="AM309" s="265"/>
      <c r="AN309" s="265"/>
      <c r="AO309" s="265"/>
      <c r="AP309" s="265"/>
      <c r="AQ309" s="265"/>
      <c r="AR309" s="265"/>
      <c r="AS309" s="265"/>
      <c r="AT309" s="265"/>
      <c r="AU309" s="265"/>
      <c r="AV309" s="265"/>
      <c r="AW309" s="265"/>
      <c r="AX309" s="265"/>
      <c r="AY309" s="265"/>
      <c r="AZ309" s="265"/>
      <c r="BA309" s="265"/>
      <c r="BB309" s="265"/>
      <c r="BC309" s="265"/>
      <c r="BD309" s="265"/>
      <c r="BE309" s="265"/>
      <c r="BF309" s="265"/>
      <c r="BG309" s="265"/>
    </row>
    <row r="310" spans="1:59" s="3" customFormat="1" x14ac:dyDescent="0.2">
      <c r="A310" s="47">
        <v>5512</v>
      </c>
      <c r="B310" s="48">
        <v>5167</v>
      </c>
      <c r="C310" s="46" t="s">
        <v>56</v>
      </c>
      <c r="D310" s="66">
        <v>8</v>
      </c>
      <c r="E310" s="66">
        <v>8</v>
      </c>
      <c r="F310" s="129">
        <v>1500</v>
      </c>
      <c r="G310" s="231">
        <v>8</v>
      </c>
      <c r="H310" s="237"/>
      <c r="I310" s="251"/>
      <c r="J310" s="251"/>
      <c r="K310" s="265"/>
      <c r="L310" s="265"/>
      <c r="M310" s="265"/>
      <c r="N310" s="265"/>
      <c r="O310" s="265"/>
      <c r="P310" s="265"/>
      <c r="Q310" s="265"/>
      <c r="R310" s="265"/>
      <c r="S310" s="265"/>
      <c r="T310" s="265"/>
      <c r="U310" s="265"/>
      <c r="V310" s="265"/>
      <c r="W310" s="265"/>
      <c r="X310" s="265"/>
      <c r="Y310" s="265"/>
      <c r="Z310" s="265"/>
      <c r="AA310" s="265"/>
      <c r="AB310" s="265"/>
      <c r="AC310" s="265"/>
      <c r="AD310" s="265"/>
      <c r="AE310" s="265"/>
      <c r="AF310" s="265"/>
      <c r="AG310" s="265"/>
      <c r="AH310" s="265"/>
      <c r="AI310" s="265"/>
      <c r="AJ310" s="265"/>
      <c r="AK310" s="265"/>
      <c r="AL310" s="265"/>
      <c r="AM310" s="265"/>
      <c r="AN310" s="265"/>
      <c r="AO310" s="265"/>
      <c r="AP310" s="265"/>
      <c r="AQ310" s="265"/>
      <c r="AR310" s="265"/>
      <c r="AS310" s="265"/>
      <c r="AT310" s="265"/>
      <c r="AU310" s="265"/>
      <c r="AV310" s="265"/>
      <c r="AW310" s="265"/>
      <c r="AX310" s="265"/>
      <c r="AY310" s="265"/>
      <c r="AZ310" s="265"/>
      <c r="BA310" s="265"/>
      <c r="BB310" s="265"/>
      <c r="BC310" s="265"/>
      <c r="BD310" s="265"/>
      <c r="BE310" s="265"/>
      <c r="BF310" s="265"/>
      <c r="BG310" s="265"/>
    </row>
    <row r="311" spans="1:59" s="3" customFormat="1" ht="30" x14ac:dyDescent="0.2">
      <c r="A311" s="47">
        <v>5512</v>
      </c>
      <c r="B311" s="48">
        <v>5168</v>
      </c>
      <c r="C311" s="46" t="s">
        <v>85</v>
      </c>
      <c r="D311" s="66">
        <v>20</v>
      </c>
      <c r="E311" s="66">
        <v>20</v>
      </c>
      <c r="F311" s="129">
        <v>15972</v>
      </c>
      <c r="G311" s="231">
        <v>20</v>
      </c>
      <c r="H311" s="237"/>
      <c r="I311" s="251"/>
      <c r="J311" s="251"/>
      <c r="K311" s="265"/>
      <c r="L311" s="265"/>
      <c r="M311" s="265"/>
      <c r="N311" s="265"/>
      <c r="O311" s="265"/>
      <c r="P311" s="265"/>
      <c r="Q311" s="265"/>
      <c r="R311" s="265"/>
      <c r="S311" s="265"/>
      <c r="T311" s="265"/>
      <c r="U311" s="265"/>
      <c r="V311" s="265"/>
      <c r="W311" s="265"/>
      <c r="X311" s="265"/>
      <c r="Y311" s="265"/>
      <c r="Z311" s="265"/>
      <c r="AA311" s="265"/>
      <c r="AB311" s="265"/>
      <c r="AC311" s="265"/>
      <c r="AD311" s="265"/>
      <c r="AE311" s="265"/>
      <c r="AF311" s="265"/>
      <c r="AG311" s="265"/>
      <c r="AH311" s="265"/>
      <c r="AI311" s="265"/>
      <c r="AJ311" s="265"/>
      <c r="AK311" s="265"/>
      <c r="AL311" s="265"/>
      <c r="AM311" s="265"/>
      <c r="AN311" s="265"/>
      <c r="AO311" s="265"/>
      <c r="AP311" s="265"/>
      <c r="AQ311" s="265"/>
      <c r="AR311" s="265"/>
      <c r="AS311" s="265"/>
      <c r="AT311" s="265"/>
      <c r="AU311" s="265"/>
      <c r="AV311" s="265"/>
      <c r="AW311" s="265"/>
      <c r="AX311" s="265"/>
      <c r="AY311" s="265"/>
      <c r="AZ311" s="265"/>
      <c r="BA311" s="265"/>
      <c r="BB311" s="265"/>
      <c r="BC311" s="265"/>
      <c r="BD311" s="265"/>
      <c r="BE311" s="265"/>
      <c r="BF311" s="265"/>
      <c r="BG311" s="265"/>
    </row>
    <row r="312" spans="1:59" s="3" customFormat="1" x14ac:dyDescent="0.2">
      <c r="A312" s="47">
        <v>5512</v>
      </c>
      <c r="B312" s="48">
        <v>5169</v>
      </c>
      <c r="C312" s="46" t="s">
        <v>221</v>
      </c>
      <c r="D312" s="66">
        <v>140</v>
      </c>
      <c r="E312" s="66">
        <v>140</v>
      </c>
      <c r="F312" s="129">
        <v>87948.55</v>
      </c>
      <c r="G312" s="231">
        <v>140</v>
      </c>
      <c r="H312" s="237"/>
      <c r="I312" s="251"/>
      <c r="J312" s="251"/>
      <c r="K312" s="265"/>
      <c r="L312" s="265"/>
      <c r="M312" s="265"/>
      <c r="N312" s="265"/>
      <c r="O312" s="265"/>
      <c r="P312" s="265"/>
      <c r="Q312" s="265"/>
      <c r="R312" s="265"/>
      <c r="S312" s="265"/>
      <c r="T312" s="265"/>
      <c r="U312" s="265"/>
      <c r="V312" s="265"/>
      <c r="W312" s="265"/>
      <c r="X312" s="265"/>
      <c r="Y312" s="265"/>
      <c r="Z312" s="265"/>
      <c r="AA312" s="265"/>
      <c r="AB312" s="265"/>
      <c r="AC312" s="265"/>
      <c r="AD312" s="265"/>
      <c r="AE312" s="265"/>
      <c r="AF312" s="265"/>
      <c r="AG312" s="265"/>
      <c r="AH312" s="265"/>
      <c r="AI312" s="265"/>
      <c r="AJ312" s="265"/>
      <c r="AK312" s="265"/>
      <c r="AL312" s="265"/>
      <c r="AM312" s="265"/>
      <c r="AN312" s="265"/>
      <c r="AO312" s="265"/>
      <c r="AP312" s="265"/>
      <c r="AQ312" s="265"/>
      <c r="AR312" s="265"/>
      <c r="AS312" s="265"/>
      <c r="AT312" s="265"/>
      <c r="AU312" s="265"/>
      <c r="AV312" s="265"/>
      <c r="AW312" s="265"/>
      <c r="AX312" s="265"/>
      <c r="AY312" s="265"/>
      <c r="AZ312" s="265"/>
      <c r="BA312" s="265"/>
      <c r="BB312" s="265"/>
      <c r="BC312" s="265"/>
      <c r="BD312" s="265"/>
      <c r="BE312" s="265"/>
      <c r="BF312" s="265"/>
      <c r="BG312" s="265"/>
    </row>
    <row r="313" spans="1:59" s="3" customFormat="1" ht="30" x14ac:dyDescent="0.2">
      <c r="A313" s="47">
        <v>5512</v>
      </c>
      <c r="B313" s="48">
        <v>5171</v>
      </c>
      <c r="C313" s="46" t="s">
        <v>238</v>
      </c>
      <c r="D313" s="66">
        <v>85</v>
      </c>
      <c r="E313" s="66">
        <v>85</v>
      </c>
      <c r="F313" s="129">
        <v>25032.48</v>
      </c>
      <c r="G313" s="231">
        <v>85</v>
      </c>
      <c r="H313" s="237"/>
      <c r="I313" s="251"/>
      <c r="J313" s="251"/>
      <c r="K313" s="265"/>
      <c r="L313" s="265"/>
      <c r="M313" s="265"/>
      <c r="N313" s="265"/>
      <c r="O313" s="265"/>
      <c r="P313" s="265"/>
      <c r="Q313" s="265"/>
      <c r="R313" s="265"/>
      <c r="S313" s="265"/>
      <c r="T313" s="265"/>
      <c r="U313" s="265"/>
      <c r="V313" s="265"/>
      <c r="W313" s="265"/>
      <c r="X313" s="265"/>
      <c r="Y313" s="265"/>
      <c r="Z313" s="265"/>
      <c r="AA313" s="265"/>
      <c r="AB313" s="265"/>
      <c r="AC313" s="265"/>
      <c r="AD313" s="265"/>
      <c r="AE313" s="265"/>
      <c r="AF313" s="265"/>
      <c r="AG313" s="265"/>
      <c r="AH313" s="265"/>
      <c r="AI313" s="265"/>
      <c r="AJ313" s="265"/>
      <c r="AK313" s="265"/>
      <c r="AL313" s="265"/>
      <c r="AM313" s="265"/>
      <c r="AN313" s="265"/>
      <c r="AO313" s="265"/>
      <c r="AP313" s="265"/>
      <c r="AQ313" s="265"/>
      <c r="AR313" s="265"/>
      <c r="AS313" s="265"/>
      <c r="AT313" s="265"/>
      <c r="AU313" s="265"/>
      <c r="AV313" s="265"/>
      <c r="AW313" s="265"/>
      <c r="AX313" s="265"/>
      <c r="AY313" s="265"/>
      <c r="AZ313" s="265"/>
      <c r="BA313" s="265"/>
      <c r="BB313" s="265"/>
      <c r="BC313" s="265"/>
      <c r="BD313" s="265"/>
      <c r="BE313" s="265"/>
      <c r="BF313" s="265"/>
      <c r="BG313" s="265"/>
    </row>
    <row r="314" spans="1:59" s="3" customFormat="1" x14ac:dyDescent="0.2">
      <c r="A314" s="105">
        <v>5512</v>
      </c>
      <c r="B314" s="106">
        <v>5171</v>
      </c>
      <c r="C314" s="107" t="s">
        <v>204</v>
      </c>
      <c r="D314" s="205">
        <v>0</v>
      </c>
      <c r="E314" s="205">
        <v>22</v>
      </c>
      <c r="F314" s="224">
        <v>0</v>
      </c>
      <c r="G314" s="231">
        <v>0</v>
      </c>
      <c r="H314" s="237"/>
      <c r="I314" s="251"/>
      <c r="J314" s="251"/>
      <c r="K314" s="265"/>
      <c r="L314" s="265"/>
      <c r="M314" s="265"/>
      <c r="N314" s="265"/>
      <c r="O314" s="265"/>
      <c r="P314" s="265"/>
      <c r="Q314" s="265"/>
      <c r="R314" s="265"/>
      <c r="S314" s="265"/>
      <c r="T314" s="265"/>
      <c r="U314" s="265"/>
      <c r="V314" s="265"/>
      <c r="W314" s="265"/>
      <c r="X314" s="265"/>
      <c r="Y314" s="265"/>
      <c r="Z314" s="265"/>
      <c r="AA314" s="265"/>
      <c r="AB314" s="265"/>
      <c r="AC314" s="265"/>
      <c r="AD314" s="265"/>
      <c r="AE314" s="265"/>
      <c r="AF314" s="265"/>
      <c r="AG314" s="265"/>
      <c r="AH314" s="265"/>
      <c r="AI314" s="265"/>
      <c r="AJ314" s="265"/>
      <c r="AK314" s="265"/>
      <c r="AL314" s="265"/>
      <c r="AM314" s="265"/>
      <c r="AN314" s="265"/>
      <c r="AO314" s="265"/>
      <c r="AP314" s="265"/>
      <c r="AQ314" s="265"/>
      <c r="AR314" s="265"/>
      <c r="AS314" s="265"/>
      <c r="AT314" s="265"/>
      <c r="AU314" s="265"/>
      <c r="AV314" s="265"/>
      <c r="AW314" s="265"/>
      <c r="AX314" s="265"/>
      <c r="AY314" s="265"/>
      <c r="AZ314" s="265"/>
      <c r="BA314" s="265"/>
      <c r="BB314" s="265"/>
      <c r="BC314" s="265"/>
      <c r="BD314" s="265"/>
      <c r="BE314" s="265"/>
      <c r="BF314" s="265"/>
      <c r="BG314" s="265"/>
    </row>
    <row r="315" spans="1:59" s="3" customFormat="1" x14ac:dyDescent="0.2">
      <c r="A315" s="47">
        <v>5512</v>
      </c>
      <c r="B315" s="48">
        <v>5175</v>
      </c>
      <c r="C315" s="46" t="s">
        <v>285</v>
      </c>
      <c r="D315" s="66">
        <v>8</v>
      </c>
      <c r="E315" s="66">
        <v>8</v>
      </c>
      <c r="F315" s="129">
        <v>0</v>
      </c>
      <c r="G315" s="231">
        <v>8</v>
      </c>
      <c r="H315" s="237"/>
      <c r="I315" s="251"/>
      <c r="J315" s="251"/>
      <c r="K315" s="265"/>
      <c r="L315" s="265"/>
      <c r="M315" s="265"/>
      <c r="N315" s="265"/>
      <c r="O315" s="265"/>
      <c r="P315" s="265"/>
      <c r="Q315" s="265"/>
      <c r="R315" s="265"/>
      <c r="S315" s="265"/>
      <c r="T315" s="265"/>
      <c r="U315" s="265"/>
      <c r="V315" s="265"/>
      <c r="W315" s="265"/>
      <c r="X315" s="265"/>
      <c r="Y315" s="265"/>
      <c r="Z315" s="265"/>
      <c r="AA315" s="265"/>
      <c r="AB315" s="265"/>
      <c r="AC315" s="265"/>
      <c r="AD315" s="265"/>
      <c r="AE315" s="265"/>
      <c r="AF315" s="265"/>
      <c r="AG315" s="265"/>
      <c r="AH315" s="265"/>
      <c r="AI315" s="265"/>
      <c r="AJ315" s="265"/>
      <c r="AK315" s="265"/>
      <c r="AL315" s="265"/>
      <c r="AM315" s="265"/>
      <c r="AN315" s="265"/>
      <c r="AO315" s="265"/>
      <c r="AP315" s="265"/>
      <c r="AQ315" s="265"/>
      <c r="AR315" s="265"/>
      <c r="AS315" s="265"/>
      <c r="AT315" s="265"/>
      <c r="AU315" s="265"/>
      <c r="AV315" s="265"/>
      <c r="AW315" s="265"/>
      <c r="AX315" s="265"/>
      <c r="AY315" s="265"/>
      <c r="AZ315" s="265"/>
      <c r="BA315" s="265"/>
      <c r="BB315" s="265"/>
      <c r="BC315" s="265"/>
      <c r="BD315" s="265"/>
      <c r="BE315" s="265"/>
      <c r="BF315" s="265"/>
      <c r="BG315" s="265"/>
    </row>
    <row r="316" spans="1:59" s="3" customFormat="1" x14ac:dyDescent="0.2">
      <c r="A316" s="47">
        <v>5512</v>
      </c>
      <c r="B316" s="48">
        <v>6122</v>
      </c>
      <c r="C316" s="46" t="s">
        <v>349</v>
      </c>
      <c r="D316" s="66">
        <v>0</v>
      </c>
      <c r="E316" s="66">
        <v>61</v>
      </c>
      <c r="F316" s="129">
        <v>0</v>
      </c>
      <c r="G316" s="231">
        <v>0</v>
      </c>
      <c r="H316" s="237"/>
      <c r="I316" s="251"/>
      <c r="J316" s="251"/>
      <c r="K316" s="265"/>
      <c r="L316" s="265"/>
      <c r="M316" s="265"/>
      <c r="N316" s="265"/>
      <c r="O316" s="265"/>
      <c r="P316" s="265"/>
      <c r="Q316" s="265"/>
      <c r="R316" s="265"/>
      <c r="S316" s="265"/>
      <c r="T316" s="265"/>
      <c r="U316" s="265"/>
      <c r="V316" s="265"/>
      <c r="W316" s="265"/>
      <c r="X316" s="265"/>
      <c r="Y316" s="265"/>
      <c r="Z316" s="265"/>
      <c r="AA316" s="265"/>
      <c r="AB316" s="265"/>
      <c r="AC316" s="265"/>
      <c r="AD316" s="265"/>
      <c r="AE316" s="265"/>
      <c r="AF316" s="265"/>
      <c r="AG316" s="265"/>
      <c r="AH316" s="265"/>
      <c r="AI316" s="265"/>
      <c r="AJ316" s="265"/>
      <c r="AK316" s="265"/>
      <c r="AL316" s="265"/>
      <c r="AM316" s="265"/>
      <c r="AN316" s="265"/>
      <c r="AO316" s="265"/>
      <c r="AP316" s="265"/>
      <c r="AQ316" s="265"/>
      <c r="AR316" s="265"/>
      <c r="AS316" s="265"/>
      <c r="AT316" s="265"/>
      <c r="AU316" s="265"/>
      <c r="AV316" s="265"/>
      <c r="AW316" s="265"/>
      <c r="AX316" s="265"/>
      <c r="AY316" s="265"/>
      <c r="AZ316" s="265"/>
      <c r="BA316" s="265"/>
      <c r="BB316" s="265"/>
      <c r="BC316" s="265"/>
      <c r="BD316" s="265"/>
      <c r="BE316" s="265"/>
      <c r="BF316" s="265"/>
      <c r="BG316" s="265"/>
    </row>
    <row r="317" spans="1:59" s="3" customFormat="1" x14ac:dyDescent="0.2">
      <c r="A317" s="122">
        <v>5512</v>
      </c>
      <c r="B317" s="155">
        <v>6123</v>
      </c>
      <c r="C317" s="89" t="s">
        <v>371</v>
      </c>
      <c r="D317" s="103">
        <v>0</v>
      </c>
      <c r="E317" s="103">
        <v>10000</v>
      </c>
      <c r="F317" s="134">
        <v>0</v>
      </c>
      <c r="G317" s="230">
        <v>10000</v>
      </c>
      <c r="H317" s="237"/>
      <c r="I317" s="251"/>
      <c r="J317" s="251"/>
      <c r="K317" s="265"/>
      <c r="L317" s="265"/>
      <c r="M317" s="265"/>
      <c r="N317" s="265"/>
      <c r="O317" s="265"/>
      <c r="P317" s="265"/>
      <c r="Q317" s="265"/>
      <c r="R317" s="265"/>
      <c r="S317" s="265"/>
      <c r="T317" s="265"/>
      <c r="U317" s="265"/>
      <c r="V317" s="265"/>
      <c r="W317" s="265"/>
      <c r="X317" s="265"/>
      <c r="Y317" s="265"/>
      <c r="Z317" s="265"/>
      <c r="AA317" s="265"/>
      <c r="AB317" s="265"/>
      <c r="AC317" s="265"/>
      <c r="AD317" s="265"/>
      <c r="AE317" s="265"/>
      <c r="AF317" s="265"/>
      <c r="AG317" s="265"/>
      <c r="AH317" s="265"/>
      <c r="AI317" s="265"/>
      <c r="AJ317" s="265"/>
      <c r="AK317" s="265"/>
      <c r="AL317" s="265"/>
      <c r="AM317" s="265"/>
      <c r="AN317" s="265"/>
      <c r="AO317" s="265"/>
      <c r="AP317" s="265"/>
      <c r="AQ317" s="265"/>
      <c r="AR317" s="265"/>
      <c r="AS317" s="265"/>
      <c r="AT317" s="265"/>
      <c r="AU317" s="265"/>
      <c r="AV317" s="265"/>
      <c r="AW317" s="265"/>
      <c r="AX317" s="265"/>
      <c r="AY317" s="265"/>
      <c r="AZ317" s="265"/>
      <c r="BA317" s="265"/>
      <c r="BB317" s="265"/>
      <c r="BC317" s="265"/>
      <c r="BD317" s="265"/>
      <c r="BE317" s="265"/>
      <c r="BF317" s="265"/>
      <c r="BG317" s="265"/>
    </row>
    <row r="318" spans="1:59" s="3" customFormat="1" ht="15.75" x14ac:dyDescent="0.25">
      <c r="A318" s="24">
        <v>5512</v>
      </c>
      <c r="B318" s="25"/>
      <c r="C318" s="59" t="s">
        <v>89</v>
      </c>
      <c r="D318" s="67">
        <f>SUM(D295:D317)</f>
        <v>880</v>
      </c>
      <c r="E318" s="67">
        <f t="shared" ref="E318:F318" si="5">SUM(E295:E317)</f>
        <v>11264.5</v>
      </c>
      <c r="F318" s="133">
        <f t="shared" si="5"/>
        <v>631192.34</v>
      </c>
      <c r="G318" s="233">
        <f>SUM(G295:G317)</f>
        <v>10837</v>
      </c>
      <c r="H318" s="239">
        <f>G318</f>
        <v>10837</v>
      </c>
      <c r="I318" s="251"/>
      <c r="J318" s="251"/>
      <c r="K318" s="265"/>
      <c r="L318" s="265"/>
      <c r="M318" s="265"/>
      <c r="N318" s="265"/>
      <c r="O318" s="265"/>
      <c r="P318" s="265"/>
      <c r="Q318" s="265"/>
      <c r="R318" s="265"/>
      <c r="S318" s="265"/>
      <c r="T318" s="265"/>
      <c r="U318" s="265"/>
      <c r="V318" s="265"/>
      <c r="W318" s="265"/>
      <c r="X318" s="265"/>
      <c r="Y318" s="265"/>
      <c r="Z318" s="265"/>
      <c r="AA318" s="265"/>
      <c r="AB318" s="265"/>
      <c r="AC318" s="265"/>
      <c r="AD318" s="265"/>
      <c r="AE318" s="265"/>
      <c r="AF318" s="265"/>
      <c r="AG318" s="265"/>
      <c r="AH318" s="265"/>
      <c r="AI318" s="265"/>
      <c r="AJ318" s="265"/>
      <c r="AK318" s="265"/>
      <c r="AL318" s="265"/>
      <c r="AM318" s="265"/>
      <c r="AN318" s="265"/>
      <c r="AO318" s="265"/>
      <c r="AP318" s="265"/>
      <c r="AQ318" s="265"/>
      <c r="AR318" s="265"/>
      <c r="AS318" s="265"/>
      <c r="AT318" s="265"/>
      <c r="AU318" s="265"/>
      <c r="AV318" s="265"/>
      <c r="AW318" s="265"/>
      <c r="AX318" s="265"/>
      <c r="AY318" s="265"/>
      <c r="AZ318" s="265"/>
      <c r="BA318" s="265"/>
      <c r="BB318" s="265"/>
      <c r="BC318" s="265"/>
      <c r="BD318" s="265"/>
      <c r="BE318" s="265"/>
      <c r="BF318" s="265"/>
      <c r="BG318" s="265"/>
    </row>
    <row r="319" spans="1:59" s="3" customFormat="1" ht="15.75" x14ac:dyDescent="0.25">
      <c r="A319" s="24"/>
      <c r="B319" s="25"/>
      <c r="C319" s="58"/>
      <c r="D319" s="66"/>
      <c r="E319" s="66"/>
      <c r="F319" s="129"/>
      <c r="G319" s="231"/>
      <c r="H319" s="237"/>
      <c r="I319" s="251"/>
      <c r="J319" s="251"/>
      <c r="K319" s="265"/>
      <c r="L319" s="265"/>
      <c r="M319" s="265"/>
      <c r="N319" s="265"/>
      <c r="O319" s="265"/>
      <c r="P319" s="265"/>
      <c r="Q319" s="265"/>
      <c r="R319" s="265"/>
      <c r="S319" s="265"/>
      <c r="T319" s="265"/>
      <c r="U319" s="265"/>
      <c r="V319" s="265"/>
      <c r="W319" s="265"/>
      <c r="X319" s="265"/>
      <c r="Y319" s="265"/>
      <c r="Z319" s="265"/>
      <c r="AA319" s="265"/>
      <c r="AB319" s="265"/>
      <c r="AC319" s="265"/>
      <c r="AD319" s="265"/>
      <c r="AE319" s="265"/>
      <c r="AF319" s="265"/>
      <c r="AG319" s="265"/>
      <c r="AH319" s="265"/>
      <c r="AI319" s="265"/>
      <c r="AJ319" s="265"/>
      <c r="AK319" s="265"/>
      <c r="AL319" s="265"/>
      <c r="AM319" s="265"/>
      <c r="AN319" s="265"/>
      <c r="AO319" s="265"/>
      <c r="AP319" s="265"/>
      <c r="AQ319" s="265"/>
      <c r="AR319" s="265"/>
      <c r="AS319" s="265"/>
      <c r="AT319" s="265"/>
      <c r="AU319" s="265"/>
      <c r="AV319" s="265"/>
      <c r="AW319" s="265"/>
      <c r="AX319" s="265"/>
      <c r="AY319" s="265"/>
      <c r="AZ319" s="265"/>
      <c r="BA319" s="265"/>
      <c r="BB319" s="265"/>
      <c r="BC319" s="265"/>
      <c r="BD319" s="265"/>
      <c r="BE319" s="265"/>
      <c r="BF319" s="265"/>
      <c r="BG319" s="265"/>
    </row>
    <row r="320" spans="1:59" s="3" customFormat="1" x14ac:dyDescent="0.2">
      <c r="A320" s="8">
        <v>6112</v>
      </c>
      <c r="B320" s="45">
        <v>5023</v>
      </c>
      <c r="C320" s="62" t="s">
        <v>63</v>
      </c>
      <c r="D320" s="66">
        <f t="shared" ref="D320:E320" si="6">3586+225</f>
        <v>3811</v>
      </c>
      <c r="E320" s="66">
        <f t="shared" si="6"/>
        <v>3811</v>
      </c>
      <c r="F320" s="129">
        <v>3074040</v>
      </c>
      <c r="G320" s="231">
        <v>4078</v>
      </c>
      <c r="H320" s="237"/>
      <c r="I320" s="251"/>
      <c r="J320" s="251"/>
      <c r="K320" s="265"/>
      <c r="L320" s="265"/>
      <c r="M320" s="265"/>
      <c r="N320" s="265"/>
      <c r="O320" s="265"/>
      <c r="P320" s="265"/>
      <c r="Q320" s="265"/>
      <c r="R320" s="265"/>
      <c r="S320" s="265"/>
      <c r="T320" s="265"/>
      <c r="U320" s="265"/>
      <c r="V320" s="265"/>
      <c r="W320" s="265"/>
      <c r="X320" s="265"/>
      <c r="Y320" s="265"/>
      <c r="Z320" s="265"/>
      <c r="AA320" s="265"/>
      <c r="AB320" s="265"/>
      <c r="AC320" s="265"/>
      <c r="AD320" s="265"/>
      <c r="AE320" s="265"/>
      <c r="AF320" s="265"/>
      <c r="AG320" s="265"/>
      <c r="AH320" s="265"/>
      <c r="AI320" s="265"/>
      <c r="AJ320" s="265"/>
      <c r="AK320" s="265"/>
      <c r="AL320" s="265"/>
      <c r="AM320" s="265"/>
      <c r="AN320" s="265"/>
      <c r="AO320" s="265"/>
      <c r="AP320" s="265"/>
      <c r="AQ320" s="265"/>
      <c r="AR320" s="265"/>
      <c r="AS320" s="265"/>
      <c r="AT320" s="265"/>
      <c r="AU320" s="265"/>
      <c r="AV320" s="265"/>
      <c r="AW320" s="265"/>
      <c r="AX320" s="265"/>
      <c r="AY320" s="265"/>
      <c r="AZ320" s="265"/>
      <c r="BA320" s="265"/>
      <c r="BB320" s="265"/>
      <c r="BC320" s="265"/>
      <c r="BD320" s="265"/>
      <c r="BE320" s="265"/>
      <c r="BF320" s="265"/>
      <c r="BG320" s="265"/>
    </row>
    <row r="321" spans="1:59" s="3" customFormat="1" x14ac:dyDescent="0.2">
      <c r="A321" s="47">
        <v>6112</v>
      </c>
      <c r="B321" s="48">
        <v>5026</v>
      </c>
      <c r="C321" s="46" t="s">
        <v>372</v>
      </c>
      <c r="D321" s="66"/>
      <c r="E321" s="66"/>
      <c r="F321" s="129"/>
      <c r="G321" s="231">
        <v>1170</v>
      </c>
      <c r="H321" s="237"/>
      <c r="I321" s="251"/>
      <c r="J321" s="251"/>
      <c r="K321" s="265"/>
      <c r="L321" s="265"/>
      <c r="M321" s="265"/>
      <c r="N321" s="265"/>
      <c r="O321" s="265"/>
      <c r="P321" s="265"/>
      <c r="Q321" s="265"/>
      <c r="R321" s="265"/>
      <c r="S321" s="265"/>
      <c r="T321" s="265"/>
      <c r="U321" s="265"/>
      <c r="V321" s="265"/>
      <c r="W321" s="265"/>
      <c r="X321" s="265"/>
      <c r="Y321" s="265"/>
      <c r="Z321" s="265"/>
      <c r="AA321" s="265"/>
      <c r="AB321" s="265"/>
      <c r="AC321" s="265"/>
      <c r="AD321" s="265"/>
      <c r="AE321" s="265"/>
      <c r="AF321" s="265"/>
      <c r="AG321" s="265"/>
      <c r="AH321" s="265"/>
      <c r="AI321" s="265"/>
      <c r="AJ321" s="265"/>
      <c r="AK321" s="265"/>
      <c r="AL321" s="265"/>
      <c r="AM321" s="265"/>
      <c r="AN321" s="265"/>
      <c r="AO321" s="265"/>
      <c r="AP321" s="265"/>
      <c r="AQ321" s="265"/>
      <c r="AR321" s="265"/>
      <c r="AS321" s="265"/>
      <c r="AT321" s="265"/>
      <c r="AU321" s="265"/>
      <c r="AV321" s="265"/>
      <c r="AW321" s="265"/>
      <c r="AX321" s="265"/>
      <c r="AY321" s="265"/>
      <c r="AZ321" s="265"/>
      <c r="BA321" s="265"/>
      <c r="BB321" s="265"/>
      <c r="BC321" s="265"/>
      <c r="BD321" s="265"/>
      <c r="BE321" s="265"/>
      <c r="BF321" s="265"/>
      <c r="BG321" s="265"/>
    </row>
    <row r="322" spans="1:59" s="2" customFormat="1" x14ac:dyDescent="0.2">
      <c r="A322" s="47">
        <v>6112</v>
      </c>
      <c r="B322" s="48">
        <v>5031</v>
      </c>
      <c r="C322" s="46" t="s">
        <v>129</v>
      </c>
      <c r="D322" s="66">
        <v>526</v>
      </c>
      <c r="E322" s="66">
        <v>526</v>
      </c>
      <c r="F322" s="129">
        <v>428194</v>
      </c>
      <c r="G322" s="231">
        <v>552</v>
      </c>
      <c r="H322" s="237"/>
      <c r="I322" s="258"/>
      <c r="J322" s="258"/>
      <c r="K322" s="259"/>
      <c r="L322" s="259"/>
      <c r="M322" s="259"/>
      <c r="N322" s="259"/>
      <c r="O322" s="259"/>
      <c r="P322" s="259"/>
      <c r="Q322" s="259"/>
      <c r="R322" s="259"/>
      <c r="S322" s="259"/>
      <c r="T322" s="259"/>
      <c r="U322" s="259"/>
      <c r="V322" s="259"/>
      <c r="W322" s="259"/>
      <c r="X322" s="259"/>
      <c r="Y322" s="259"/>
      <c r="Z322" s="259"/>
      <c r="AA322" s="259"/>
      <c r="AB322" s="259"/>
      <c r="AC322" s="259"/>
      <c r="AD322" s="259"/>
      <c r="AE322" s="259"/>
      <c r="AF322" s="259"/>
      <c r="AG322" s="259"/>
      <c r="AH322" s="259"/>
      <c r="AI322" s="259"/>
      <c r="AJ322" s="259"/>
      <c r="AK322" s="259"/>
      <c r="AL322" s="259"/>
      <c r="AM322" s="259"/>
      <c r="AN322" s="259"/>
      <c r="AO322" s="259"/>
      <c r="AP322" s="259"/>
      <c r="AQ322" s="259"/>
      <c r="AR322" s="259"/>
      <c r="AS322" s="259"/>
      <c r="AT322" s="259"/>
      <c r="AU322" s="259"/>
      <c r="AV322" s="259"/>
      <c r="AW322" s="259"/>
      <c r="AX322" s="259"/>
      <c r="AY322" s="259"/>
      <c r="AZ322" s="259"/>
      <c r="BA322" s="259"/>
      <c r="BB322" s="259"/>
      <c r="BC322" s="259"/>
      <c r="BD322" s="259"/>
      <c r="BE322" s="259"/>
      <c r="BF322" s="259"/>
      <c r="BG322" s="259"/>
    </row>
    <row r="323" spans="1:59" s="2" customFormat="1" x14ac:dyDescent="0.2">
      <c r="A323" s="47">
        <v>6112</v>
      </c>
      <c r="B323" s="48">
        <v>5032</v>
      </c>
      <c r="C323" s="46" t="s">
        <v>33</v>
      </c>
      <c r="D323" s="66">
        <f t="shared" ref="D323:E323" si="7">3811*0.09</f>
        <v>342.99</v>
      </c>
      <c r="E323" s="66">
        <f t="shared" si="7"/>
        <v>342.99</v>
      </c>
      <c r="F323" s="129">
        <v>276660</v>
      </c>
      <c r="G323" s="231">
        <v>359</v>
      </c>
      <c r="H323" s="237"/>
      <c r="I323" s="258"/>
      <c r="J323" s="258"/>
      <c r="K323" s="259"/>
      <c r="L323" s="259"/>
      <c r="M323" s="259"/>
      <c r="N323" s="259"/>
      <c r="O323" s="259"/>
      <c r="P323" s="259"/>
      <c r="Q323" s="259"/>
      <c r="R323" s="259"/>
      <c r="S323" s="259"/>
      <c r="T323" s="259"/>
      <c r="U323" s="259"/>
      <c r="V323" s="259"/>
      <c r="W323" s="259"/>
      <c r="X323" s="259"/>
      <c r="Y323" s="259"/>
      <c r="Z323" s="259"/>
      <c r="AA323" s="259"/>
      <c r="AB323" s="259"/>
      <c r="AC323" s="259"/>
      <c r="AD323" s="259"/>
      <c r="AE323" s="259"/>
      <c r="AF323" s="259"/>
      <c r="AG323" s="259"/>
      <c r="AH323" s="259"/>
      <c r="AI323" s="259"/>
      <c r="AJ323" s="259"/>
      <c r="AK323" s="259"/>
      <c r="AL323" s="259"/>
      <c r="AM323" s="259"/>
      <c r="AN323" s="259"/>
      <c r="AO323" s="259"/>
      <c r="AP323" s="259"/>
      <c r="AQ323" s="259"/>
      <c r="AR323" s="259"/>
      <c r="AS323" s="259"/>
      <c r="AT323" s="259"/>
      <c r="AU323" s="259"/>
      <c r="AV323" s="259"/>
      <c r="AW323" s="259"/>
      <c r="AX323" s="259"/>
      <c r="AY323" s="259"/>
      <c r="AZ323" s="259"/>
      <c r="BA323" s="259"/>
      <c r="BB323" s="259"/>
      <c r="BC323" s="259"/>
      <c r="BD323" s="259"/>
      <c r="BE323" s="259"/>
      <c r="BF323" s="259"/>
      <c r="BG323" s="259"/>
    </row>
    <row r="324" spans="1:59" s="2" customFormat="1" x14ac:dyDescent="0.2">
      <c r="A324" s="47">
        <v>6112</v>
      </c>
      <c r="B324" s="48">
        <v>5137</v>
      </c>
      <c r="C324" s="46" t="s">
        <v>373</v>
      </c>
      <c r="D324" s="66"/>
      <c r="E324" s="66"/>
      <c r="F324" s="129"/>
      <c r="G324" s="231">
        <v>100</v>
      </c>
      <c r="H324" s="237"/>
      <c r="I324" s="258"/>
      <c r="J324" s="258"/>
      <c r="K324" s="259"/>
      <c r="L324" s="259"/>
      <c r="M324" s="259"/>
      <c r="N324" s="259"/>
      <c r="O324" s="259"/>
      <c r="P324" s="259"/>
      <c r="Q324" s="259"/>
      <c r="R324" s="259"/>
      <c r="S324" s="259"/>
      <c r="T324" s="259"/>
      <c r="U324" s="259"/>
      <c r="V324" s="259"/>
      <c r="W324" s="259"/>
      <c r="X324" s="259"/>
      <c r="Y324" s="259"/>
      <c r="Z324" s="259"/>
      <c r="AA324" s="259"/>
      <c r="AB324" s="259"/>
      <c r="AC324" s="259"/>
      <c r="AD324" s="259"/>
      <c r="AE324" s="259"/>
      <c r="AF324" s="259"/>
      <c r="AG324" s="259"/>
      <c r="AH324" s="259"/>
      <c r="AI324" s="259"/>
      <c r="AJ324" s="259"/>
      <c r="AK324" s="259"/>
      <c r="AL324" s="259"/>
      <c r="AM324" s="259"/>
      <c r="AN324" s="259"/>
      <c r="AO324" s="259"/>
      <c r="AP324" s="259"/>
      <c r="AQ324" s="259"/>
      <c r="AR324" s="259"/>
      <c r="AS324" s="259"/>
      <c r="AT324" s="259"/>
      <c r="AU324" s="259"/>
      <c r="AV324" s="259"/>
      <c r="AW324" s="259"/>
      <c r="AX324" s="259"/>
      <c r="AY324" s="259"/>
      <c r="AZ324" s="259"/>
      <c r="BA324" s="259"/>
      <c r="BB324" s="259"/>
      <c r="BC324" s="259"/>
      <c r="BD324" s="259"/>
      <c r="BE324" s="259"/>
      <c r="BF324" s="259"/>
      <c r="BG324" s="259"/>
    </row>
    <row r="325" spans="1:59" s="2" customFormat="1" x14ac:dyDescent="0.2">
      <c r="A325" s="47">
        <v>6112</v>
      </c>
      <c r="B325" s="48">
        <v>5139</v>
      </c>
      <c r="C325" s="46" t="s">
        <v>4</v>
      </c>
      <c r="D325" s="66">
        <v>3</v>
      </c>
      <c r="E325" s="66">
        <v>3</v>
      </c>
      <c r="F325" s="129">
        <v>0</v>
      </c>
      <c r="G325" s="231">
        <v>4</v>
      </c>
      <c r="H325" s="237"/>
      <c r="I325" s="258"/>
      <c r="J325" s="258"/>
      <c r="K325" s="259"/>
      <c r="L325" s="259"/>
      <c r="M325" s="259"/>
      <c r="N325" s="259"/>
      <c r="O325" s="259"/>
      <c r="P325" s="259"/>
      <c r="Q325" s="259"/>
      <c r="R325" s="259"/>
      <c r="S325" s="259"/>
      <c r="T325" s="259"/>
      <c r="U325" s="259"/>
      <c r="V325" s="259"/>
      <c r="W325" s="259"/>
      <c r="X325" s="259"/>
      <c r="Y325" s="259"/>
      <c r="Z325" s="259"/>
      <c r="AA325" s="259"/>
      <c r="AB325" s="259"/>
      <c r="AC325" s="259"/>
      <c r="AD325" s="259"/>
      <c r="AE325" s="259"/>
      <c r="AF325" s="259"/>
      <c r="AG325" s="259"/>
      <c r="AH325" s="259"/>
      <c r="AI325" s="259"/>
      <c r="AJ325" s="259"/>
      <c r="AK325" s="259"/>
      <c r="AL325" s="259"/>
      <c r="AM325" s="259"/>
      <c r="AN325" s="259"/>
      <c r="AO325" s="259"/>
      <c r="AP325" s="259"/>
      <c r="AQ325" s="259"/>
      <c r="AR325" s="259"/>
      <c r="AS325" s="259"/>
      <c r="AT325" s="259"/>
      <c r="AU325" s="259"/>
      <c r="AV325" s="259"/>
      <c r="AW325" s="259"/>
      <c r="AX325" s="259"/>
      <c r="AY325" s="259"/>
      <c r="AZ325" s="259"/>
      <c r="BA325" s="259"/>
      <c r="BB325" s="259"/>
      <c r="BC325" s="259"/>
      <c r="BD325" s="259"/>
      <c r="BE325" s="259"/>
      <c r="BF325" s="259"/>
      <c r="BG325" s="259"/>
    </row>
    <row r="326" spans="1:59" s="2" customFormat="1" x14ac:dyDescent="0.2">
      <c r="A326" s="47">
        <v>6112</v>
      </c>
      <c r="B326" s="48">
        <v>5156</v>
      </c>
      <c r="C326" s="46" t="s">
        <v>48</v>
      </c>
      <c r="D326" s="66">
        <v>16</v>
      </c>
      <c r="E326" s="66">
        <v>16</v>
      </c>
      <c r="F326" s="129">
        <v>9174.5499999999993</v>
      </c>
      <c r="G326" s="231">
        <v>16</v>
      </c>
      <c r="H326" s="237"/>
      <c r="I326" s="258"/>
      <c r="J326" s="258"/>
      <c r="K326" s="259"/>
      <c r="L326" s="259"/>
      <c r="M326" s="259"/>
      <c r="N326" s="259"/>
      <c r="O326" s="259"/>
      <c r="P326" s="259"/>
      <c r="Q326" s="259"/>
      <c r="R326" s="259"/>
      <c r="S326" s="259"/>
      <c r="T326" s="259"/>
      <c r="U326" s="259"/>
      <c r="V326" s="259"/>
      <c r="W326" s="259"/>
      <c r="X326" s="259"/>
      <c r="Y326" s="259"/>
      <c r="Z326" s="259"/>
      <c r="AA326" s="259"/>
      <c r="AB326" s="259"/>
      <c r="AC326" s="259"/>
      <c r="AD326" s="259"/>
      <c r="AE326" s="259"/>
      <c r="AF326" s="259"/>
      <c r="AG326" s="259"/>
      <c r="AH326" s="259"/>
      <c r="AI326" s="259"/>
      <c r="AJ326" s="259"/>
      <c r="AK326" s="259"/>
      <c r="AL326" s="259"/>
      <c r="AM326" s="259"/>
      <c r="AN326" s="259"/>
      <c r="AO326" s="259"/>
      <c r="AP326" s="259"/>
      <c r="AQ326" s="259"/>
      <c r="AR326" s="259"/>
      <c r="AS326" s="259"/>
      <c r="AT326" s="259"/>
      <c r="AU326" s="259"/>
      <c r="AV326" s="259"/>
      <c r="AW326" s="259"/>
      <c r="AX326" s="259"/>
      <c r="AY326" s="259"/>
      <c r="AZ326" s="259"/>
      <c r="BA326" s="259"/>
      <c r="BB326" s="259"/>
      <c r="BC326" s="259"/>
      <c r="BD326" s="259"/>
      <c r="BE326" s="259"/>
      <c r="BF326" s="259"/>
      <c r="BG326" s="259"/>
    </row>
    <row r="327" spans="1:59" s="2" customFormat="1" x14ac:dyDescent="0.2">
      <c r="A327" s="47">
        <v>6112</v>
      </c>
      <c r="B327" s="48">
        <v>5168</v>
      </c>
      <c r="C327" s="46" t="s">
        <v>72</v>
      </c>
      <c r="D327" s="66">
        <v>35</v>
      </c>
      <c r="E327" s="66">
        <v>35</v>
      </c>
      <c r="F327" s="129">
        <v>0</v>
      </c>
      <c r="G327" s="231">
        <v>20</v>
      </c>
      <c r="H327" s="237"/>
      <c r="I327" s="258"/>
      <c r="J327" s="258"/>
      <c r="K327" s="259"/>
      <c r="L327" s="259"/>
      <c r="M327" s="259"/>
      <c r="N327" s="259"/>
      <c r="O327" s="259"/>
      <c r="P327" s="259"/>
      <c r="Q327" s="259"/>
      <c r="R327" s="259"/>
      <c r="S327" s="259"/>
      <c r="T327" s="259"/>
      <c r="U327" s="259"/>
      <c r="V327" s="259"/>
      <c r="W327" s="259"/>
      <c r="X327" s="259"/>
      <c r="Y327" s="259"/>
      <c r="Z327" s="259"/>
      <c r="AA327" s="259"/>
      <c r="AB327" s="259"/>
      <c r="AC327" s="259"/>
      <c r="AD327" s="259"/>
      <c r="AE327" s="259"/>
      <c r="AF327" s="259"/>
      <c r="AG327" s="259"/>
      <c r="AH327" s="259"/>
      <c r="AI327" s="259"/>
      <c r="AJ327" s="259"/>
      <c r="AK327" s="259"/>
      <c r="AL327" s="259"/>
      <c r="AM327" s="259"/>
      <c r="AN327" s="259"/>
      <c r="AO327" s="259"/>
      <c r="AP327" s="259"/>
      <c r="AQ327" s="259"/>
      <c r="AR327" s="259"/>
      <c r="AS327" s="259"/>
      <c r="AT327" s="259"/>
      <c r="AU327" s="259"/>
      <c r="AV327" s="259"/>
      <c r="AW327" s="259"/>
      <c r="AX327" s="259"/>
      <c r="AY327" s="259"/>
      <c r="AZ327" s="259"/>
      <c r="BA327" s="259"/>
      <c r="BB327" s="259"/>
      <c r="BC327" s="259"/>
      <c r="BD327" s="259"/>
      <c r="BE327" s="259"/>
      <c r="BF327" s="259"/>
      <c r="BG327" s="259"/>
    </row>
    <row r="328" spans="1:59" s="2" customFormat="1" x14ac:dyDescent="0.2">
      <c r="A328" s="47">
        <v>6112</v>
      </c>
      <c r="B328" s="48">
        <v>5169</v>
      </c>
      <c r="C328" s="46" t="s">
        <v>393</v>
      </c>
      <c r="D328" s="66">
        <v>30</v>
      </c>
      <c r="E328" s="66">
        <v>30</v>
      </c>
      <c r="F328" s="129">
        <v>3988.7</v>
      </c>
      <c r="G328" s="231">
        <v>30</v>
      </c>
      <c r="H328" s="237"/>
      <c r="I328" s="258"/>
      <c r="J328" s="258"/>
      <c r="K328" s="259"/>
      <c r="L328" s="259"/>
      <c r="M328" s="259"/>
      <c r="N328" s="259"/>
      <c r="O328" s="259"/>
      <c r="P328" s="259"/>
      <c r="Q328" s="259"/>
      <c r="R328" s="259"/>
      <c r="S328" s="259"/>
      <c r="T328" s="259"/>
      <c r="U328" s="259"/>
      <c r="V328" s="259"/>
      <c r="W328" s="259"/>
      <c r="X328" s="259"/>
      <c r="Y328" s="259"/>
      <c r="Z328" s="259"/>
      <c r="AA328" s="259"/>
      <c r="AB328" s="259"/>
      <c r="AC328" s="259"/>
      <c r="AD328" s="259"/>
      <c r="AE328" s="259"/>
      <c r="AF328" s="259"/>
      <c r="AG328" s="259"/>
      <c r="AH328" s="259"/>
      <c r="AI328" s="259"/>
      <c r="AJ328" s="259"/>
      <c r="AK328" s="259"/>
      <c r="AL328" s="259"/>
      <c r="AM328" s="259"/>
      <c r="AN328" s="259"/>
      <c r="AO328" s="259"/>
      <c r="AP328" s="259"/>
      <c r="AQ328" s="259"/>
      <c r="AR328" s="259"/>
      <c r="AS328" s="259"/>
      <c r="AT328" s="259"/>
      <c r="AU328" s="259"/>
      <c r="AV328" s="259"/>
      <c r="AW328" s="259"/>
      <c r="AX328" s="259"/>
      <c r="AY328" s="259"/>
      <c r="AZ328" s="259"/>
      <c r="BA328" s="259"/>
      <c r="BB328" s="259"/>
      <c r="BC328" s="259"/>
      <c r="BD328" s="259"/>
      <c r="BE328" s="259"/>
      <c r="BF328" s="259"/>
      <c r="BG328" s="259"/>
    </row>
    <row r="329" spans="1:59" s="2" customFormat="1" x14ac:dyDescent="0.2">
      <c r="A329" s="47">
        <v>6112</v>
      </c>
      <c r="B329" s="48">
        <v>5173</v>
      </c>
      <c r="C329" s="46" t="s">
        <v>22</v>
      </c>
      <c r="D329" s="66">
        <v>5.6</v>
      </c>
      <c r="E329" s="66">
        <v>5.6</v>
      </c>
      <c r="F329" s="129">
        <v>2314</v>
      </c>
      <c r="G329" s="231">
        <v>5.4</v>
      </c>
      <c r="H329" s="237"/>
      <c r="I329" s="258"/>
      <c r="J329" s="258"/>
      <c r="K329" s="259"/>
      <c r="L329" s="259"/>
      <c r="M329" s="259"/>
      <c r="N329" s="259"/>
      <c r="O329" s="259"/>
      <c r="P329" s="259"/>
      <c r="Q329" s="259"/>
      <c r="R329" s="259"/>
      <c r="S329" s="259"/>
      <c r="T329" s="259"/>
      <c r="U329" s="259"/>
      <c r="V329" s="259"/>
      <c r="W329" s="259"/>
      <c r="X329" s="259"/>
      <c r="Y329" s="259"/>
      <c r="Z329" s="259"/>
      <c r="AA329" s="259"/>
      <c r="AB329" s="259"/>
      <c r="AC329" s="259"/>
      <c r="AD329" s="259"/>
      <c r="AE329" s="259"/>
      <c r="AF329" s="259"/>
      <c r="AG329" s="259"/>
      <c r="AH329" s="259"/>
      <c r="AI329" s="259"/>
      <c r="AJ329" s="259"/>
      <c r="AK329" s="259"/>
      <c r="AL329" s="259"/>
      <c r="AM329" s="259"/>
      <c r="AN329" s="259"/>
      <c r="AO329" s="259"/>
      <c r="AP329" s="259"/>
      <c r="AQ329" s="259"/>
      <c r="AR329" s="259"/>
      <c r="AS329" s="259"/>
      <c r="AT329" s="259"/>
      <c r="AU329" s="259"/>
      <c r="AV329" s="259"/>
      <c r="AW329" s="259"/>
      <c r="AX329" s="259"/>
      <c r="AY329" s="259"/>
      <c r="AZ329" s="259"/>
      <c r="BA329" s="259"/>
      <c r="BB329" s="259"/>
      <c r="BC329" s="259"/>
      <c r="BD329" s="259"/>
      <c r="BE329" s="259"/>
      <c r="BF329" s="259"/>
      <c r="BG329" s="259"/>
    </row>
    <row r="330" spans="1:59" s="2" customFormat="1" x14ac:dyDescent="0.2">
      <c r="A330" s="47">
        <v>6112</v>
      </c>
      <c r="B330" s="48">
        <v>5175</v>
      </c>
      <c r="C330" s="46" t="s">
        <v>13</v>
      </c>
      <c r="D330" s="66">
        <v>20</v>
      </c>
      <c r="E330" s="66">
        <v>20</v>
      </c>
      <c r="F330" s="129">
        <v>8760</v>
      </c>
      <c r="G330" s="231">
        <v>20</v>
      </c>
      <c r="H330" s="237"/>
      <c r="I330" s="258"/>
      <c r="J330" s="258"/>
      <c r="K330" s="259"/>
      <c r="L330" s="259"/>
      <c r="M330" s="259"/>
      <c r="N330" s="259"/>
      <c r="O330" s="259"/>
      <c r="P330" s="259"/>
      <c r="Q330" s="259"/>
      <c r="R330" s="259"/>
      <c r="S330" s="259"/>
      <c r="T330" s="259"/>
      <c r="U330" s="259"/>
      <c r="V330" s="259"/>
      <c r="W330" s="259"/>
      <c r="X330" s="259"/>
      <c r="Y330" s="259"/>
      <c r="Z330" s="259"/>
      <c r="AA330" s="259"/>
      <c r="AB330" s="259"/>
      <c r="AC330" s="259"/>
      <c r="AD330" s="259"/>
      <c r="AE330" s="259"/>
      <c r="AF330" s="259"/>
      <c r="AG330" s="259"/>
      <c r="AH330" s="259"/>
      <c r="AI330" s="259"/>
      <c r="AJ330" s="259"/>
      <c r="AK330" s="259"/>
      <c r="AL330" s="259"/>
      <c r="AM330" s="259"/>
      <c r="AN330" s="259"/>
      <c r="AO330" s="259"/>
      <c r="AP330" s="259"/>
      <c r="AQ330" s="259"/>
      <c r="AR330" s="259"/>
      <c r="AS330" s="259"/>
      <c r="AT330" s="259"/>
      <c r="AU330" s="259"/>
      <c r="AV330" s="259"/>
      <c r="AW330" s="259"/>
      <c r="AX330" s="259"/>
      <c r="AY330" s="259"/>
      <c r="AZ330" s="259"/>
      <c r="BA330" s="259"/>
      <c r="BB330" s="259"/>
      <c r="BC330" s="259"/>
      <c r="BD330" s="259"/>
      <c r="BE330" s="259"/>
      <c r="BF330" s="259"/>
      <c r="BG330" s="259"/>
    </row>
    <row r="331" spans="1:59" s="2" customFormat="1" x14ac:dyDescent="0.2">
      <c r="A331" s="47">
        <v>6112</v>
      </c>
      <c r="B331" s="48">
        <v>5179</v>
      </c>
      <c r="C331" s="46" t="s">
        <v>261</v>
      </c>
      <c r="D331" s="66">
        <v>20</v>
      </c>
      <c r="E331" s="66">
        <v>20</v>
      </c>
      <c r="F331" s="129">
        <v>20000</v>
      </c>
      <c r="G331" s="231">
        <v>20</v>
      </c>
      <c r="H331" s="237"/>
      <c r="I331" s="258"/>
      <c r="J331" s="258"/>
      <c r="K331" s="259"/>
      <c r="L331" s="259"/>
      <c r="M331" s="259"/>
      <c r="N331" s="259"/>
      <c r="O331" s="259"/>
      <c r="P331" s="259"/>
      <c r="Q331" s="259"/>
      <c r="R331" s="259"/>
      <c r="S331" s="259"/>
      <c r="T331" s="259"/>
      <c r="U331" s="259"/>
      <c r="V331" s="259"/>
      <c r="W331" s="259"/>
      <c r="X331" s="259"/>
      <c r="Y331" s="259"/>
      <c r="Z331" s="259"/>
      <c r="AA331" s="259"/>
      <c r="AB331" s="259"/>
      <c r="AC331" s="259"/>
      <c r="AD331" s="259"/>
      <c r="AE331" s="259"/>
      <c r="AF331" s="259"/>
      <c r="AG331" s="259"/>
      <c r="AH331" s="259"/>
      <c r="AI331" s="259"/>
      <c r="AJ331" s="259"/>
      <c r="AK331" s="259"/>
      <c r="AL331" s="259"/>
      <c r="AM331" s="259"/>
      <c r="AN331" s="259"/>
      <c r="AO331" s="259"/>
      <c r="AP331" s="259"/>
      <c r="AQ331" s="259"/>
      <c r="AR331" s="259"/>
      <c r="AS331" s="259"/>
      <c r="AT331" s="259"/>
      <c r="AU331" s="259"/>
      <c r="AV331" s="259"/>
      <c r="AW331" s="259"/>
      <c r="AX331" s="259"/>
      <c r="AY331" s="259"/>
      <c r="AZ331" s="259"/>
      <c r="BA331" s="259"/>
      <c r="BB331" s="259"/>
      <c r="BC331" s="259"/>
      <c r="BD331" s="259"/>
      <c r="BE331" s="259"/>
      <c r="BF331" s="259"/>
      <c r="BG331" s="259"/>
    </row>
    <row r="332" spans="1:59" s="2" customFormat="1" x14ac:dyDescent="0.2">
      <c r="A332" s="47">
        <v>6112</v>
      </c>
      <c r="B332" s="48">
        <v>5194</v>
      </c>
      <c r="C332" s="46" t="s">
        <v>350</v>
      </c>
      <c r="D332" s="66">
        <v>0</v>
      </c>
      <c r="E332" s="66">
        <v>0</v>
      </c>
      <c r="F332" s="129">
        <v>3600</v>
      </c>
      <c r="G332" s="231">
        <v>8</v>
      </c>
      <c r="H332" s="237"/>
      <c r="I332" s="258"/>
      <c r="J332" s="258"/>
      <c r="K332" s="259"/>
      <c r="L332" s="259"/>
      <c r="M332" s="259"/>
      <c r="N332" s="259"/>
      <c r="O332" s="259"/>
      <c r="P332" s="259"/>
      <c r="Q332" s="259"/>
      <c r="R332" s="259"/>
      <c r="S332" s="259"/>
      <c r="T332" s="259"/>
      <c r="U332" s="259"/>
      <c r="V332" s="259"/>
      <c r="W332" s="259"/>
      <c r="X332" s="259"/>
      <c r="Y332" s="259"/>
      <c r="Z332" s="259"/>
      <c r="AA332" s="259"/>
      <c r="AB332" s="259"/>
      <c r="AC332" s="259"/>
      <c r="AD332" s="259"/>
      <c r="AE332" s="259"/>
      <c r="AF332" s="259"/>
      <c r="AG332" s="259"/>
      <c r="AH332" s="259"/>
      <c r="AI332" s="259"/>
      <c r="AJ332" s="259"/>
      <c r="AK332" s="259"/>
      <c r="AL332" s="259"/>
      <c r="AM332" s="259"/>
      <c r="AN332" s="259"/>
      <c r="AO332" s="259"/>
      <c r="AP332" s="259"/>
      <c r="AQ332" s="259"/>
      <c r="AR332" s="259"/>
      <c r="AS332" s="259"/>
      <c r="AT332" s="259"/>
      <c r="AU332" s="259"/>
      <c r="AV332" s="259"/>
      <c r="AW332" s="259"/>
      <c r="AX332" s="259"/>
      <c r="AY332" s="259"/>
      <c r="AZ332" s="259"/>
      <c r="BA332" s="259"/>
      <c r="BB332" s="259"/>
      <c r="BC332" s="259"/>
      <c r="BD332" s="259"/>
      <c r="BE332" s="259"/>
      <c r="BF332" s="259"/>
      <c r="BG332" s="259"/>
    </row>
    <row r="333" spans="1:59" s="2" customFormat="1" x14ac:dyDescent="0.2">
      <c r="A333" s="47">
        <v>6112</v>
      </c>
      <c r="B333" s="48">
        <v>5222</v>
      </c>
      <c r="C333" s="46" t="s">
        <v>338</v>
      </c>
      <c r="D333" s="66">
        <v>30</v>
      </c>
      <c r="E333" s="66">
        <v>30</v>
      </c>
      <c r="F333" s="129">
        <v>30000</v>
      </c>
      <c r="G333" s="231">
        <v>30</v>
      </c>
      <c r="H333" s="237"/>
      <c r="I333" s="258"/>
      <c r="J333" s="258"/>
      <c r="K333" s="259"/>
      <c r="L333" s="259"/>
      <c r="M333" s="259"/>
      <c r="N333" s="259"/>
      <c r="O333" s="259"/>
      <c r="P333" s="259"/>
      <c r="Q333" s="259"/>
      <c r="R333" s="259"/>
      <c r="S333" s="259"/>
      <c r="T333" s="259"/>
      <c r="U333" s="259"/>
      <c r="V333" s="259"/>
      <c r="W333" s="259"/>
      <c r="X333" s="259"/>
      <c r="Y333" s="259"/>
      <c r="Z333" s="259"/>
      <c r="AA333" s="259"/>
      <c r="AB333" s="259"/>
      <c r="AC333" s="259"/>
      <c r="AD333" s="259"/>
      <c r="AE333" s="259"/>
      <c r="AF333" s="259"/>
      <c r="AG333" s="259"/>
      <c r="AH333" s="259"/>
      <c r="AI333" s="259"/>
      <c r="AJ333" s="259"/>
      <c r="AK333" s="259"/>
      <c r="AL333" s="259"/>
      <c r="AM333" s="259"/>
      <c r="AN333" s="259"/>
      <c r="AO333" s="259"/>
      <c r="AP333" s="259"/>
      <c r="AQ333" s="259"/>
      <c r="AR333" s="259"/>
      <c r="AS333" s="259"/>
      <c r="AT333" s="259"/>
      <c r="AU333" s="259"/>
      <c r="AV333" s="259"/>
      <c r="AW333" s="259"/>
      <c r="AX333" s="259"/>
      <c r="AY333" s="259"/>
      <c r="AZ333" s="259"/>
      <c r="BA333" s="259"/>
      <c r="BB333" s="259"/>
      <c r="BC333" s="259"/>
      <c r="BD333" s="259"/>
      <c r="BE333" s="259"/>
      <c r="BF333" s="259"/>
      <c r="BG333" s="259"/>
    </row>
    <row r="334" spans="1:59" s="2" customFormat="1" ht="30" x14ac:dyDescent="0.2">
      <c r="A334" s="47">
        <v>6112</v>
      </c>
      <c r="B334" s="48">
        <v>5229</v>
      </c>
      <c r="C334" s="46" t="s">
        <v>201</v>
      </c>
      <c r="D334" s="66">
        <v>20</v>
      </c>
      <c r="E334" s="66">
        <v>20</v>
      </c>
      <c r="F334" s="129">
        <v>0</v>
      </c>
      <c r="G334" s="231">
        <v>30</v>
      </c>
      <c r="H334" s="237"/>
      <c r="I334" s="258"/>
      <c r="J334" s="258"/>
      <c r="K334" s="259"/>
      <c r="L334" s="259"/>
      <c r="M334" s="259"/>
      <c r="N334" s="259"/>
      <c r="O334" s="259"/>
      <c r="P334" s="259"/>
      <c r="Q334" s="259"/>
      <c r="R334" s="259"/>
      <c r="S334" s="259"/>
      <c r="T334" s="259"/>
      <c r="U334" s="259"/>
      <c r="V334" s="259"/>
      <c r="W334" s="259"/>
      <c r="X334" s="259"/>
      <c r="Y334" s="259"/>
      <c r="Z334" s="259"/>
      <c r="AA334" s="259"/>
      <c r="AB334" s="259"/>
      <c r="AC334" s="259"/>
      <c r="AD334" s="259"/>
      <c r="AE334" s="259"/>
      <c r="AF334" s="259"/>
      <c r="AG334" s="259"/>
      <c r="AH334" s="259"/>
      <c r="AI334" s="259"/>
      <c r="AJ334" s="259"/>
      <c r="AK334" s="259"/>
      <c r="AL334" s="259"/>
      <c r="AM334" s="259"/>
      <c r="AN334" s="259"/>
      <c r="AO334" s="259"/>
      <c r="AP334" s="259"/>
      <c r="AQ334" s="259"/>
      <c r="AR334" s="259"/>
      <c r="AS334" s="259"/>
      <c r="AT334" s="259"/>
      <c r="AU334" s="259"/>
      <c r="AV334" s="259"/>
      <c r="AW334" s="259"/>
      <c r="AX334" s="259"/>
      <c r="AY334" s="259"/>
      <c r="AZ334" s="259"/>
      <c r="BA334" s="259"/>
      <c r="BB334" s="259"/>
      <c r="BC334" s="259"/>
      <c r="BD334" s="259"/>
      <c r="BE334" s="259"/>
      <c r="BF334" s="259"/>
      <c r="BG334" s="259"/>
    </row>
    <row r="335" spans="1:59" s="2" customFormat="1" x14ac:dyDescent="0.2">
      <c r="A335" s="47">
        <v>6112</v>
      </c>
      <c r="B335" s="48">
        <v>5362</v>
      </c>
      <c r="C335" s="46" t="s">
        <v>90</v>
      </c>
      <c r="D335" s="66">
        <v>2.4</v>
      </c>
      <c r="E335" s="66">
        <v>2.4</v>
      </c>
      <c r="F335" s="129">
        <v>2440</v>
      </c>
      <c r="G335" s="231">
        <v>2.6</v>
      </c>
      <c r="H335" s="237"/>
      <c r="I335" s="258"/>
      <c r="J335" s="258"/>
      <c r="K335" s="259"/>
      <c r="L335" s="259"/>
      <c r="M335" s="259"/>
      <c r="N335" s="259"/>
      <c r="O335" s="259"/>
      <c r="P335" s="259"/>
      <c r="Q335" s="259"/>
      <c r="R335" s="259"/>
      <c r="S335" s="259"/>
      <c r="T335" s="259"/>
      <c r="U335" s="259"/>
      <c r="V335" s="259"/>
      <c r="W335" s="259"/>
      <c r="X335" s="259"/>
      <c r="Y335" s="259"/>
      <c r="Z335" s="259"/>
      <c r="AA335" s="259"/>
      <c r="AB335" s="259"/>
      <c r="AC335" s="259"/>
      <c r="AD335" s="259"/>
      <c r="AE335" s="259"/>
      <c r="AF335" s="259"/>
      <c r="AG335" s="259"/>
      <c r="AH335" s="259"/>
      <c r="AI335" s="259"/>
      <c r="AJ335" s="259"/>
      <c r="AK335" s="259"/>
      <c r="AL335" s="259"/>
      <c r="AM335" s="259"/>
      <c r="AN335" s="259"/>
      <c r="AO335" s="259"/>
      <c r="AP335" s="259"/>
      <c r="AQ335" s="259"/>
      <c r="AR335" s="259"/>
      <c r="AS335" s="259"/>
      <c r="AT335" s="259"/>
      <c r="AU335" s="259"/>
      <c r="AV335" s="259"/>
      <c r="AW335" s="259"/>
      <c r="AX335" s="259"/>
      <c r="AY335" s="259"/>
      <c r="AZ335" s="259"/>
      <c r="BA335" s="259"/>
      <c r="BB335" s="259"/>
      <c r="BC335" s="259"/>
      <c r="BD335" s="259"/>
      <c r="BE335" s="259"/>
      <c r="BF335" s="259"/>
      <c r="BG335" s="259"/>
    </row>
    <row r="336" spans="1:59" s="2" customFormat="1" x14ac:dyDescent="0.2">
      <c r="A336" s="47">
        <v>6112</v>
      </c>
      <c r="B336" s="48">
        <v>5365</v>
      </c>
      <c r="C336" s="46" t="s">
        <v>286</v>
      </c>
      <c r="D336" s="66">
        <v>0</v>
      </c>
      <c r="E336" s="66">
        <v>0</v>
      </c>
      <c r="F336" s="129">
        <v>800</v>
      </c>
      <c r="G336" s="231">
        <v>0</v>
      </c>
      <c r="H336" s="237"/>
      <c r="I336" s="258"/>
      <c r="J336" s="258"/>
      <c r="K336" s="259"/>
      <c r="L336" s="259"/>
      <c r="M336" s="259"/>
      <c r="N336" s="259"/>
      <c r="O336" s="259"/>
      <c r="P336" s="259"/>
      <c r="Q336" s="259"/>
      <c r="R336" s="259"/>
      <c r="S336" s="259"/>
      <c r="T336" s="259"/>
      <c r="U336" s="259"/>
      <c r="V336" s="259"/>
      <c r="W336" s="259"/>
      <c r="X336" s="259"/>
      <c r="Y336" s="259"/>
      <c r="Z336" s="259"/>
      <c r="AA336" s="259"/>
      <c r="AB336" s="259"/>
      <c r="AC336" s="259"/>
      <c r="AD336" s="259"/>
      <c r="AE336" s="259"/>
      <c r="AF336" s="259"/>
      <c r="AG336" s="259"/>
      <c r="AH336" s="259"/>
      <c r="AI336" s="259"/>
      <c r="AJ336" s="259"/>
      <c r="AK336" s="259"/>
      <c r="AL336" s="259"/>
      <c r="AM336" s="259"/>
      <c r="AN336" s="259"/>
      <c r="AO336" s="259"/>
      <c r="AP336" s="259"/>
      <c r="AQ336" s="259"/>
      <c r="AR336" s="259"/>
      <c r="AS336" s="259"/>
      <c r="AT336" s="259"/>
      <c r="AU336" s="259"/>
      <c r="AV336" s="259"/>
      <c r="AW336" s="259"/>
      <c r="AX336" s="259"/>
      <c r="AY336" s="259"/>
      <c r="AZ336" s="259"/>
      <c r="BA336" s="259"/>
      <c r="BB336" s="259"/>
      <c r="BC336" s="259"/>
      <c r="BD336" s="259"/>
      <c r="BE336" s="259"/>
      <c r="BF336" s="259"/>
      <c r="BG336" s="259"/>
    </row>
    <row r="337" spans="1:59" s="2" customFormat="1" x14ac:dyDescent="0.2">
      <c r="A337" s="47">
        <v>6112</v>
      </c>
      <c r="B337" s="48">
        <v>5492</v>
      </c>
      <c r="C337" s="46" t="s">
        <v>95</v>
      </c>
      <c r="D337" s="66">
        <v>100</v>
      </c>
      <c r="E337" s="66">
        <v>100</v>
      </c>
      <c r="F337" s="129">
        <v>5000</v>
      </c>
      <c r="G337" s="231">
        <v>100</v>
      </c>
      <c r="H337" s="237"/>
      <c r="I337" s="258"/>
      <c r="J337" s="258"/>
      <c r="K337" s="259"/>
      <c r="L337" s="259"/>
      <c r="M337" s="259"/>
      <c r="N337" s="259"/>
      <c r="O337" s="259"/>
      <c r="P337" s="259"/>
      <c r="Q337" s="259"/>
      <c r="R337" s="259"/>
      <c r="S337" s="259"/>
      <c r="T337" s="259"/>
      <c r="U337" s="259"/>
      <c r="V337" s="259"/>
      <c r="W337" s="259"/>
      <c r="X337" s="259"/>
      <c r="Y337" s="259"/>
      <c r="Z337" s="259"/>
      <c r="AA337" s="259"/>
      <c r="AB337" s="259"/>
      <c r="AC337" s="259"/>
      <c r="AD337" s="259"/>
      <c r="AE337" s="259"/>
      <c r="AF337" s="259"/>
      <c r="AG337" s="259"/>
      <c r="AH337" s="259"/>
      <c r="AI337" s="259"/>
      <c r="AJ337" s="259"/>
      <c r="AK337" s="259"/>
      <c r="AL337" s="259"/>
      <c r="AM337" s="259"/>
      <c r="AN337" s="259"/>
      <c r="AO337" s="259"/>
      <c r="AP337" s="259"/>
      <c r="AQ337" s="259"/>
      <c r="AR337" s="259"/>
      <c r="AS337" s="259"/>
      <c r="AT337" s="259"/>
      <c r="AU337" s="259"/>
      <c r="AV337" s="259"/>
      <c r="AW337" s="259"/>
      <c r="AX337" s="259"/>
      <c r="AY337" s="259"/>
      <c r="AZ337" s="259"/>
      <c r="BA337" s="259"/>
      <c r="BB337" s="259"/>
      <c r="BC337" s="259"/>
      <c r="BD337" s="259"/>
      <c r="BE337" s="259"/>
      <c r="BF337" s="259"/>
      <c r="BG337" s="259"/>
    </row>
    <row r="338" spans="1:59" s="2" customFormat="1" x14ac:dyDescent="0.2">
      <c r="A338" s="47">
        <v>6112</v>
      </c>
      <c r="B338" s="48">
        <v>5499</v>
      </c>
      <c r="C338" s="46" t="s">
        <v>171</v>
      </c>
      <c r="D338" s="66">
        <v>34</v>
      </c>
      <c r="E338" s="66">
        <v>34</v>
      </c>
      <c r="F338" s="129">
        <v>25000</v>
      </c>
      <c r="G338" s="231">
        <v>34</v>
      </c>
      <c r="H338" s="237"/>
      <c r="I338" s="258"/>
      <c r="J338" s="258"/>
      <c r="K338" s="259"/>
      <c r="L338" s="259"/>
      <c r="M338" s="259"/>
      <c r="N338" s="259"/>
      <c r="O338" s="259"/>
      <c r="P338" s="259"/>
      <c r="Q338" s="259"/>
      <c r="R338" s="259"/>
      <c r="S338" s="259"/>
      <c r="T338" s="259"/>
      <c r="U338" s="259"/>
      <c r="V338" s="259"/>
      <c r="W338" s="259"/>
      <c r="X338" s="259"/>
      <c r="Y338" s="259"/>
      <c r="Z338" s="259"/>
      <c r="AA338" s="259"/>
      <c r="AB338" s="259"/>
      <c r="AC338" s="259"/>
      <c r="AD338" s="259"/>
      <c r="AE338" s="259"/>
      <c r="AF338" s="259"/>
      <c r="AG338" s="259"/>
      <c r="AH338" s="259"/>
      <c r="AI338" s="259"/>
      <c r="AJ338" s="259"/>
      <c r="AK338" s="259"/>
      <c r="AL338" s="259"/>
      <c r="AM338" s="259"/>
      <c r="AN338" s="259"/>
      <c r="AO338" s="259"/>
      <c r="AP338" s="259"/>
      <c r="AQ338" s="259"/>
      <c r="AR338" s="259"/>
      <c r="AS338" s="259"/>
      <c r="AT338" s="259"/>
      <c r="AU338" s="259"/>
      <c r="AV338" s="259"/>
      <c r="AW338" s="259"/>
      <c r="AX338" s="259"/>
      <c r="AY338" s="259"/>
      <c r="AZ338" s="259"/>
      <c r="BA338" s="259"/>
      <c r="BB338" s="259"/>
      <c r="BC338" s="259"/>
      <c r="BD338" s="259"/>
      <c r="BE338" s="259"/>
      <c r="BF338" s="259"/>
      <c r="BG338" s="259"/>
    </row>
    <row r="339" spans="1:59" s="3" customFormat="1" x14ac:dyDescent="0.2">
      <c r="A339" s="122">
        <v>6112</v>
      </c>
      <c r="B339" s="155">
        <v>6123</v>
      </c>
      <c r="C339" s="89" t="s">
        <v>259</v>
      </c>
      <c r="D339" s="103">
        <v>539</v>
      </c>
      <c r="E339" s="103">
        <v>539</v>
      </c>
      <c r="F339" s="134">
        <v>538712</v>
      </c>
      <c r="G339" s="231">
        <v>0</v>
      </c>
      <c r="H339" s="237"/>
      <c r="I339" s="251"/>
      <c r="J339" s="251"/>
      <c r="K339" s="265"/>
      <c r="L339" s="265"/>
      <c r="M339" s="265"/>
      <c r="N339" s="265"/>
      <c r="O339" s="265"/>
      <c r="P339" s="265"/>
      <c r="Q339" s="265"/>
      <c r="R339" s="265"/>
      <c r="S339" s="265"/>
      <c r="T339" s="265"/>
      <c r="U339" s="265"/>
      <c r="V339" s="265"/>
      <c r="W339" s="265"/>
      <c r="X339" s="265"/>
      <c r="Y339" s="265"/>
      <c r="Z339" s="265"/>
      <c r="AA339" s="265"/>
      <c r="AB339" s="265"/>
      <c r="AC339" s="265"/>
      <c r="AD339" s="265"/>
      <c r="AE339" s="265"/>
      <c r="AF339" s="265"/>
      <c r="AG339" s="265"/>
      <c r="AH339" s="265"/>
      <c r="AI339" s="265"/>
      <c r="AJ339" s="265"/>
      <c r="AK339" s="265"/>
      <c r="AL339" s="265"/>
      <c r="AM339" s="265"/>
      <c r="AN339" s="265"/>
      <c r="AO339" s="265"/>
      <c r="AP339" s="265"/>
      <c r="AQ339" s="265"/>
      <c r="AR339" s="265"/>
      <c r="AS339" s="265"/>
      <c r="AT339" s="265"/>
      <c r="AU339" s="265"/>
      <c r="AV339" s="265"/>
      <c r="AW339" s="265"/>
      <c r="AX339" s="265"/>
      <c r="AY339" s="265"/>
      <c r="AZ339" s="265"/>
      <c r="BA339" s="265"/>
      <c r="BB339" s="265"/>
      <c r="BC339" s="265"/>
      <c r="BD339" s="265"/>
      <c r="BE339" s="265"/>
      <c r="BF339" s="265"/>
      <c r="BG339" s="265"/>
    </row>
    <row r="340" spans="1:59" s="2" customFormat="1" ht="15.75" x14ac:dyDescent="0.25">
      <c r="A340" s="24">
        <v>6112</v>
      </c>
      <c r="B340" s="25"/>
      <c r="C340" s="57" t="s">
        <v>26</v>
      </c>
      <c r="D340" s="67">
        <f>SUM(D320:D339)</f>
        <v>5534.99</v>
      </c>
      <c r="E340" s="67">
        <f>SUM(E320:E339)</f>
        <v>5534.99</v>
      </c>
      <c r="F340" s="133">
        <f>SUM(F320:F339)</f>
        <v>4428683.25</v>
      </c>
      <c r="G340" s="233">
        <f>SUM(G320:G339)</f>
        <v>6579</v>
      </c>
      <c r="H340" s="239">
        <f>G340</f>
        <v>6579</v>
      </c>
      <c r="I340" s="258"/>
      <c r="J340" s="258"/>
      <c r="K340" s="259"/>
      <c r="L340" s="259"/>
      <c r="M340" s="259"/>
      <c r="N340" s="259"/>
      <c r="O340" s="259"/>
      <c r="P340" s="259"/>
      <c r="Q340" s="259"/>
      <c r="R340" s="259"/>
      <c r="S340" s="259"/>
      <c r="T340" s="259"/>
      <c r="U340" s="259"/>
      <c r="V340" s="259"/>
      <c r="W340" s="259"/>
      <c r="X340" s="259"/>
      <c r="Y340" s="259"/>
      <c r="Z340" s="259"/>
      <c r="AA340" s="259"/>
      <c r="AB340" s="259"/>
      <c r="AC340" s="259"/>
      <c r="AD340" s="259"/>
      <c r="AE340" s="259"/>
      <c r="AF340" s="259"/>
      <c r="AG340" s="259"/>
      <c r="AH340" s="259"/>
      <c r="AI340" s="259"/>
      <c r="AJ340" s="259"/>
      <c r="AK340" s="259"/>
      <c r="AL340" s="259"/>
      <c r="AM340" s="259"/>
      <c r="AN340" s="259"/>
      <c r="AO340" s="259"/>
      <c r="AP340" s="259"/>
      <c r="AQ340" s="259"/>
      <c r="AR340" s="259"/>
      <c r="AS340" s="259"/>
      <c r="AT340" s="259"/>
      <c r="AU340" s="259"/>
      <c r="AV340" s="259"/>
      <c r="AW340" s="259"/>
      <c r="AX340" s="259"/>
      <c r="AY340" s="259"/>
      <c r="AZ340" s="259"/>
      <c r="BA340" s="259"/>
      <c r="BB340" s="259"/>
      <c r="BC340" s="259"/>
      <c r="BD340" s="259"/>
      <c r="BE340" s="259"/>
      <c r="BF340" s="259"/>
      <c r="BG340" s="259"/>
    </row>
    <row r="341" spans="1:59" s="2" customFormat="1" ht="15.75" x14ac:dyDescent="0.25">
      <c r="A341" s="24"/>
      <c r="B341" s="206"/>
      <c r="C341" s="207"/>
      <c r="D341" s="67"/>
      <c r="E341" s="67"/>
      <c r="F341" s="133"/>
      <c r="G341" s="233"/>
      <c r="H341" s="239"/>
      <c r="I341" s="258"/>
      <c r="J341" s="258"/>
      <c r="K341" s="259"/>
      <c r="L341" s="259"/>
      <c r="M341" s="259"/>
      <c r="N341" s="259"/>
      <c r="O341" s="259"/>
      <c r="P341" s="259"/>
      <c r="Q341" s="259"/>
      <c r="R341" s="259"/>
      <c r="S341" s="259"/>
      <c r="T341" s="259"/>
      <c r="U341" s="259"/>
      <c r="V341" s="259"/>
      <c r="W341" s="259"/>
      <c r="X341" s="259"/>
      <c r="Y341" s="259"/>
      <c r="Z341" s="259"/>
      <c r="AA341" s="259"/>
      <c r="AB341" s="259"/>
      <c r="AC341" s="259"/>
      <c r="AD341" s="259"/>
      <c r="AE341" s="259"/>
      <c r="AF341" s="259"/>
      <c r="AG341" s="259"/>
      <c r="AH341" s="259"/>
      <c r="AI341" s="259"/>
      <c r="AJ341" s="259"/>
      <c r="AK341" s="259"/>
      <c r="AL341" s="259"/>
      <c r="AM341" s="259"/>
      <c r="AN341" s="259"/>
      <c r="AO341" s="259"/>
      <c r="AP341" s="259"/>
      <c r="AQ341" s="259"/>
      <c r="AR341" s="259"/>
      <c r="AS341" s="259"/>
      <c r="AT341" s="259"/>
      <c r="AU341" s="259"/>
      <c r="AV341" s="259"/>
      <c r="AW341" s="259"/>
      <c r="AX341" s="259"/>
      <c r="AY341" s="259"/>
      <c r="AZ341" s="259"/>
      <c r="BA341" s="259"/>
      <c r="BB341" s="259"/>
      <c r="BC341" s="259"/>
      <c r="BD341" s="259"/>
      <c r="BE341" s="259"/>
      <c r="BF341" s="259"/>
      <c r="BG341" s="259"/>
    </row>
    <row r="342" spans="1:59" s="159" customFormat="1" x14ac:dyDescent="0.2">
      <c r="A342" s="8">
        <v>6114</v>
      </c>
      <c r="B342" s="45">
        <v>5021</v>
      </c>
      <c r="C342" s="46" t="s">
        <v>17</v>
      </c>
      <c r="D342" s="66">
        <v>0</v>
      </c>
      <c r="E342" s="66">
        <v>128</v>
      </c>
      <c r="F342" s="129">
        <v>127287</v>
      </c>
      <c r="G342" s="231">
        <v>0</v>
      </c>
      <c r="H342" s="237"/>
      <c r="I342" s="258"/>
      <c r="J342" s="258"/>
      <c r="K342" s="258"/>
      <c r="L342" s="258"/>
      <c r="M342" s="258"/>
      <c r="N342" s="258"/>
      <c r="O342" s="258"/>
      <c r="P342" s="258"/>
      <c r="Q342" s="258"/>
      <c r="R342" s="258"/>
      <c r="S342" s="258"/>
      <c r="T342" s="258"/>
      <c r="U342" s="258"/>
      <c r="V342" s="258"/>
      <c r="W342" s="258"/>
      <c r="X342" s="258"/>
      <c r="Y342" s="258"/>
      <c r="Z342" s="258"/>
      <c r="AA342" s="258"/>
      <c r="AB342" s="258"/>
      <c r="AC342" s="258"/>
      <c r="AD342" s="258"/>
      <c r="AE342" s="258"/>
      <c r="AF342" s="258"/>
      <c r="AG342" s="258"/>
      <c r="AH342" s="258"/>
      <c r="AI342" s="258"/>
      <c r="AJ342" s="258"/>
      <c r="AK342" s="258"/>
      <c r="AL342" s="258"/>
      <c r="AM342" s="258"/>
      <c r="AN342" s="258"/>
      <c r="AO342" s="258"/>
      <c r="AP342" s="258"/>
      <c r="AQ342" s="258"/>
      <c r="AR342" s="258"/>
      <c r="AS342" s="258"/>
      <c r="AT342" s="258"/>
      <c r="AU342" s="258"/>
      <c r="AV342" s="258"/>
      <c r="AW342" s="258"/>
      <c r="AX342" s="258"/>
      <c r="AY342" s="258"/>
      <c r="AZ342" s="258"/>
      <c r="BA342" s="258"/>
      <c r="BB342" s="258"/>
      <c r="BC342" s="258"/>
      <c r="BD342" s="258"/>
      <c r="BE342" s="258"/>
      <c r="BF342" s="258"/>
      <c r="BG342" s="258"/>
    </row>
    <row r="343" spans="1:59" s="159" customFormat="1" x14ac:dyDescent="0.2">
      <c r="A343" s="8">
        <v>6114</v>
      </c>
      <c r="B343" s="48">
        <v>5031</v>
      </c>
      <c r="C343" s="46" t="s">
        <v>129</v>
      </c>
      <c r="D343" s="66">
        <v>0</v>
      </c>
      <c r="E343" s="66">
        <v>5</v>
      </c>
      <c r="F343" s="129">
        <v>4820</v>
      </c>
      <c r="G343" s="231">
        <v>0</v>
      </c>
      <c r="H343" s="237"/>
      <c r="I343" s="258"/>
      <c r="J343" s="258"/>
      <c r="K343" s="258"/>
      <c r="L343" s="258"/>
      <c r="M343" s="258"/>
      <c r="N343" s="258"/>
      <c r="O343" s="258"/>
      <c r="P343" s="258"/>
      <c r="Q343" s="258"/>
      <c r="R343" s="258"/>
      <c r="S343" s="258"/>
      <c r="T343" s="258"/>
      <c r="U343" s="258"/>
      <c r="V343" s="258"/>
      <c r="W343" s="258"/>
      <c r="X343" s="258"/>
      <c r="Y343" s="258"/>
      <c r="Z343" s="258"/>
      <c r="AA343" s="258"/>
      <c r="AB343" s="258"/>
      <c r="AC343" s="258"/>
      <c r="AD343" s="258"/>
      <c r="AE343" s="258"/>
      <c r="AF343" s="258"/>
      <c r="AG343" s="258"/>
      <c r="AH343" s="258"/>
      <c r="AI343" s="258"/>
      <c r="AJ343" s="258"/>
      <c r="AK343" s="258"/>
      <c r="AL343" s="258"/>
      <c r="AM343" s="258"/>
      <c r="AN343" s="258"/>
      <c r="AO343" s="258"/>
      <c r="AP343" s="258"/>
      <c r="AQ343" s="258"/>
      <c r="AR343" s="258"/>
      <c r="AS343" s="258"/>
      <c r="AT343" s="258"/>
      <c r="AU343" s="258"/>
      <c r="AV343" s="258"/>
      <c r="AW343" s="258"/>
      <c r="AX343" s="258"/>
      <c r="AY343" s="258"/>
      <c r="AZ343" s="258"/>
      <c r="BA343" s="258"/>
      <c r="BB343" s="258"/>
      <c r="BC343" s="258"/>
      <c r="BD343" s="258"/>
      <c r="BE343" s="258"/>
      <c r="BF343" s="258"/>
      <c r="BG343" s="258"/>
    </row>
    <row r="344" spans="1:59" s="159" customFormat="1" x14ac:dyDescent="0.2">
      <c r="A344" s="8">
        <v>6114</v>
      </c>
      <c r="B344" s="48">
        <v>5032</v>
      </c>
      <c r="C344" s="46" t="s">
        <v>33</v>
      </c>
      <c r="D344" s="66">
        <v>0</v>
      </c>
      <c r="E344" s="66">
        <v>2</v>
      </c>
      <c r="F344" s="129">
        <v>1749</v>
      </c>
      <c r="G344" s="231">
        <v>0</v>
      </c>
      <c r="H344" s="237"/>
      <c r="I344" s="258"/>
      <c r="J344" s="258"/>
      <c r="K344" s="258"/>
      <c r="L344" s="258"/>
      <c r="M344" s="258"/>
      <c r="N344" s="258"/>
      <c r="O344" s="258"/>
      <c r="P344" s="258"/>
      <c r="Q344" s="258"/>
      <c r="R344" s="258"/>
      <c r="S344" s="258"/>
      <c r="T344" s="258"/>
      <c r="U344" s="258"/>
      <c r="V344" s="258"/>
      <c r="W344" s="258"/>
      <c r="X344" s="258"/>
      <c r="Y344" s="258"/>
      <c r="Z344" s="258"/>
      <c r="AA344" s="258"/>
      <c r="AB344" s="258"/>
      <c r="AC344" s="258"/>
      <c r="AD344" s="258"/>
      <c r="AE344" s="258"/>
      <c r="AF344" s="258"/>
      <c r="AG344" s="258"/>
      <c r="AH344" s="258"/>
      <c r="AI344" s="258"/>
      <c r="AJ344" s="258"/>
      <c r="AK344" s="258"/>
      <c r="AL344" s="258"/>
      <c r="AM344" s="258"/>
      <c r="AN344" s="258"/>
      <c r="AO344" s="258"/>
      <c r="AP344" s="258"/>
      <c r="AQ344" s="258"/>
      <c r="AR344" s="258"/>
      <c r="AS344" s="258"/>
      <c r="AT344" s="258"/>
      <c r="AU344" s="258"/>
      <c r="AV344" s="258"/>
      <c r="AW344" s="258"/>
      <c r="AX344" s="258"/>
      <c r="AY344" s="258"/>
      <c r="AZ344" s="258"/>
      <c r="BA344" s="258"/>
      <c r="BB344" s="258"/>
      <c r="BC344" s="258"/>
      <c r="BD344" s="258"/>
      <c r="BE344" s="258"/>
      <c r="BF344" s="258"/>
      <c r="BG344" s="258"/>
    </row>
    <row r="345" spans="1:59" s="159" customFormat="1" x14ac:dyDescent="0.2">
      <c r="A345" s="8">
        <v>6114</v>
      </c>
      <c r="B345" s="45">
        <v>5139</v>
      </c>
      <c r="C345" s="46" t="s">
        <v>4</v>
      </c>
      <c r="D345" s="66">
        <v>0</v>
      </c>
      <c r="E345" s="66">
        <v>15</v>
      </c>
      <c r="F345" s="129">
        <v>18545.73</v>
      </c>
      <c r="G345" s="231">
        <v>0</v>
      </c>
      <c r="H345" s="237"/>
      <c r="I345" s="258"/>
      <c r="J345" s="258"/>
      <c r="K345" s="258"/>
      <c r="L345" s="258"/>
      <c r="M345" s="258"/>
      <c r="N345" s="258"/>
      <c r="O345" s="258"/>
      <c r="P345" s="258"/>
      <c r="Q345" s="258"/>
      <c r="R345" s="258"/>
      <c r="S345" s="258"/>
      <c r="T345" s="258"/>
      <c r="U345" s="258"/>
      <c r="V345" s="258"/>
      <c r="W345" s="258"/>
      <c r="X345" s="258"/>
      <c r="Y345" s="258"/>
      <c r="Z345" s="258"/>
      <c r="AA345" s="258"/>
      <c r="AB345" s="258"/>
      <c r="AC345" s="258"/>
      <c r="AD345" s="258"/>
      <c r="AE345" s="258"/>
      <c r="AF345" s="258"/>
      <c r="AG345" s="258"/>
      <c r="AH345" s="258"/>
      <c r="AI345" s="258"/>
      <c r="AJ345" s="258"/>
      <c r="AK345" s="258"/>
      <c r="AL345" s="258"/>
      <c r="AM345" s="258"/>
      <c r="AN345" s="258"/>
      <c r="AO345" s="258"/>
      <c r="AP345" s="258"/>
      <c r="AQ345" s="258"/>
      <c r="AR345" s="258"/>
      <c r="AS345" s="258"/>
      <c r="AT345" s="258"/>
      <c r="AU345" s="258"/>
      <c r="AV345" s="258"/>
      <c r="AW345" s="258"/>
      <c r="AX345" s="258"/>
      <c r="AY345" s="258"/>
      <c r="AZ345" s="258"/>
      <c r="BA345" s="258"/>
      <c r="BB345" s="258"/>
      <c r="BC345" s="258"/>
      <c r="BD345" s="258"/>
      <c r="BE345" s="258"/>
      <c r="BF345" s="258"/>
      <c r="BG345" s="258"/>
    </row>
    <row r="346" spans="1:59" s="159" customFormat="1" x14ac:dyDescent="0.2">
      <c r="A346" s="8">
        <v>6114</v>
      </c>
      <c r="B346" s="45">
        <v>5161</v>
      </c>
      <c r="C346" s="46" t="s">
        <v>61</v>
      </c>
      <c r="D346" s="66">
        <v>0</v>
      </c>
      <c r="E346" s="66">
        <f>3+10</f>
        <v>13</v>
      </c>
      <c r="F346" s="129">
        <v>13187</v>
      </c>
      <c r="G346" s="231">
        <v>0</v>
      </c>
      <c r="H346" s="237"/>
      <c r="I346" s="258"/>
      <c r="J346" s="258"/>
      <c r="K346" s="258"/>
      <c r="L346" s="258"/>
      <c r="M346" s="258"/>
      <c r="N346" s="258"/>
      <c r="O346" s="258"/>
      <c r="P346" s="258"/>
      <c r="Q346" s="258"/>
      <c r="R346" s="258"/>
      <c r="S346" s="258"/>
      <c r="T346" s="258"/>
      <c r="U346" s="258"/>
      <c r="V346" s="258"/>
      <c r="W346" s="258"/>
      <c r="X346" s="258"/>
      <c r="Y346" s="258"/>
      <c r="Z346" s="258"/>
      <c r="AA346" s="258"/>
      <c r="AB346" s="258"/>
      <c r="AC346" s="258"/>
      <c r="AD346" s="258"/>
      <c r="AE346" s="258"/>
      <c r="AF346" s="258"/>
      <c r="AG346" s="258"/>
      <c r="AH346" s="258"/>
      <c r="AI346" s="258"/>
      <c r="AJ346" s="258"/>
      <c r="AK346" s="258"/>
      <c r="AL346" s="258"/>
      <c r="AM346" s="258"/>
      <c r="AN346" s="258"/>
      <c r="AO346" s="258"/>
      <c r="AP346" s="258"/>
      <c r="AQ346" s="258"/>
      <c r="AR346" s="258"/>
      <c r="AS346" s="258"/>
      <c r="AT346" s="258"/>
      <c r="AU346" s="258"/>
      <c r="AV346" s="258"/>
      <c r="AW346" s="258"/>
      <c r="AX346" s="258"/>
      <c r="AY346" s="258"/>
      <c r="AZ346" s="258"/>
      <c r="BA346" s="258"/>
      <c r="BB346" s="258"/>
      <c r="BC346" s="258"/>
      <c r="BD346" s="258"/>
      <c r="BE346" s="258"/>
      <c r="BF346" s="258"/>
      <c r="BG346" s="258"/>
    </row>
    <row r="347" spans="1:59" s="159" customFormat="1" x14ac:dyDescent="0.2">
      <c r="A347" s="8">
        <v>6114</v>
      </c>
      <c r="B347" s="45">
        <v>5162</v>
      </c>
      <c r="C347" s="46" t="s">
        <v>96</v>
      </c>
      <c r="D347" s="66">
        <v>0</v>
      </c>
      <c r="E347" s="66">
        <v>2.5</v>
      </c>
      <c r="F347" s="129">
        <v>2170.7399999999998</v>
      </c>
      <c r="G347" s="231">
        <v>0</v>
      </c>
      <c r="H347" s="237"/>
      <c r="I347" s="258"/>
      <c r="J347" s="258"/>
      <c r="K347" s="258"/>
      <c r="L347" s="258"/>
      <c r="M347" s="258"/>
      <c r="N347" s="258"/>
      <c r="O347" s="258"/>
      <c r="P347" s="258"/>
      <c r="Q347" s="258"/>
      <c r="R347" s="258"/>
      <c r="S347" s="258"/>
      <c r="T347" s="258"/>
      <c r="U347" s="258"/>
      <c r="V347" s="258"/>
      <c r="W347" s="258"/>
      <c r="X347" s="258"/>
      <c r="Y347" s="258"/>
      <c r="Z347" s="258"/>
      <c r="AA347" s="258"/>
      <c r="AB347" s="258"/>
      <c r="AC347" s="258"/>
      <c r="AD347" s="258"/>
      <c r="AE347" s="258"/>
      <c r="AF347" s="258"/>
      <c r="AG347" s="258"/>
      <c r="AH347" s="258"/>
      <c r="AI347" s="258"/>
      <c r="AJ347" s="258"/>
      <c r="AK347" s="258"/>
      <c r="AL347" s="258"/>
      <c r="AM347" s="258"/>
      <c r="AN347" s="258"/>
      <c r="AO347" s="258"/>
      <c r="AP347" s="258"/>
      <c r="AQ347" s="258"/>
      <c r="AR347" s="258"/>
      <c r="AS347" s="258"/>
      <c r="AT347" s="258"/>
      <c r="AU347" s="258"/>
      <c r="AV347" s="258"/>
      <c r="AW347" s="258"/>
      <c r="AX347" s="258"/>
      <c r="AY347" s="258"/>
      <c r="AZ347" s="258"/>
      <c r="BA347" s="258"/>
      <c r="BB347" s="258"/>
      <c r="BC347" s="258"/>
      <c r="BD347" s="258"/>
      <c r="BE347" s="258"/>
      <c r="BF347" s="258"/>
      <c r="BG347" s="258"/>
    </row>
    <row r="348" spans="1:59" s="159" customFormat="1" x14ac:dyDescent="0.2">
      <c r="A348" s="8">
        <v>6114</v>
      </c>
      <c r="B348" s="45">
        <v>5164</v>
      </c>
      <c r="C348" s="46" t="s">
        <v>337</v>
      </c>
      <c r="D348" s="66">
        <v>0</v>
      </c>
      <c r="E348" s="66">
        <v>18</v>
      </c>
      <c r="F348" s="129">
        <v>18000</v>
      </c>
      <c r="G348" s="231">
        <v>0</v>
      </c>
      <c r="H348" s="237"/>
      <c r="I348" s="258"/>
      <c r="J348" s="258"/>
      <c r="K348" s="258"/>
      <c r="L348" s="258"/>
      <c r="M348" s="258"/>
      <c r="N348" s="258"/>
      <c r="O348" s="258"/>
      <c r="P348" s="258"/>
      <c r="Q348" s="258"/>
      <c r="R348" s="258"/>
      <c r="S348" s="258"/>
      <c r="T348" s="258"/>
      <c r="U348" s="258"/>
      <c r="V348" s="258"/>
      <c r="W348" s="258"/>
      <c r="X348" s="258"/>
      <c r="Y348" s="258"/>
      <c r="Z348" s="258"/>
      <c r="AA348" s="258"/>
      <c r="AB348" s="258"/>
      <c r="AC348" s="258"/>
      <c r="AD348" s="258"/>
      <c r="AE348" s="258"/>
      <c r="AF348" s="258"/>
      <c r="AG348" s="258"/>
      <c r="AH348" s="258"/>
      <c r="AI348" s="258"/>
      <c r="AJ348" s="258"/>
      <c r="AK348" s="258"/>
      <c r="AL348" s="258"/>
      <c r="AM348" s="258"/>
      <c r="AN348" s="258"/>
      <c r="AO348" s="258"/>
      <c r="AP348" s="258"/>
      <c r="AQ348" s="258"/>
      <c r="AR348" s="258"/>
      <c r="AS348" s="258"/>
      <c r="AT348" s="258"/>
      <c r="AU348" s="258"/>
      <c r="AV348" s="258"/>
      <c r="AW348" s="258"/>
      <c r="AX348" s="258"/>
      <c r="AY348" s="258"/>
      <c r="AZ348" s="258"/>
      <c r="BA348" s="258"/>
      <c r="BB348" s="258"/>
      <c r="BC348" s="258"/>
      <c r="BD348" s="258"/>
      <c r="BE348" s="258"/>
      <c r="BF348" s="258"/>
      <c r="BG348" s="258"/>
    </row>
    <row r="349" spans="1:59" s="159" customFormat="1" x14ac:dyDescent="0.2">
      <c r="A349" s="8">
        <v>6114</v>
      </c>
      <c r="B349" s="45">
        <v>5168</v>
      </c>
      <c r="C349" s="46" t="s">
        <v>72</v>
      </c>
      <c r="D349" s="66">
        <v>0</v>
      </c>
      <c r="E349" s="66">
        <f>2.5+5</f>
        <v>7.5</v>
      </c>
      <c r="F349" s="129">
        <v>7500</v>
      </c>
      <c r="G349" s="231">
        <v>0</v>
      </c>
      <c r="H349" s="237"/>
      <c r="I349" s="258"/>
      <c r="J349" s="258"/>
      <c r="K349" s="258"/>
      <c r="L349" s="258"/>
      <c r="M349" s="258"/>
      <c r="N349" s="258"/>
      <c r="O349" s="258"/>
      <c r="P349" s="258"/>
      <c r="Q349" s="258"/>
      <c r="R349" s="258"/>
      <c r="S349" s="258"/>
      <c r="T349" s="258"/>
      <c r="U349" s="258"/>
      <c r="V349" s="258"/>
      <c r="W349" s="258"/>
      <c r="X349" s="258"/>
      <c r="Y349" s="258"/>
      <c r="Z349" s="258"/>
      <c r="AA349" s="258"/>
      <c r="AB349" s="258"/>
      <c r="AC349" s="258"/>
      <c r="AD349" s="258"/>
      <c r="AE349" s="258"/>
      <c r="AF349" s="258"/>
      <c r="AG349" s="258"/>
      <c r="AH349" s="258"/>
      <c r="AI349" s="258"/>
      <c r="AJ349" s="258"/>
      <c r="AK349" s="258"/>
      <c r="AL349" s="258"/>
      <c r="AM349" s="258"/>
      <c r="AN349" s="258"/>
      <c r="AO349" s="258"/>
      <c r="AP349" s="258"/>
      <c r="AQ349" s="258"/>
      <c r="AR349" s="258"/>
      <c r="AS349" s="258"/>
      <c r="AT349" s="258"/>
      <c r="AU349" s="258"/>
      <c r="AV349" s="258"/>
      <c r="AW349" s="258"/>
      <c r="AX349" s="258"/>
      <c r="AY349" s="258"/>
      <c r="AZ349" s="258"/>
      <c r="BA349" s="258"/>
      <c r="BB349" s="258"/>
      <c r="BC349" s="258"/>
      <c r="BD349" s="258"/>
      <c r="BE349" s="258"/>
      <c r="BF349" s="258"/>
      <c r="BG349" s="258"/>
    </row>
    <row r="350" spans="1:59" s="159" customFormat="1" x14ac:dyDescent="0.2">
      <c r="A350" s="8">
        <v>6114</v>
      </c>
      <c r="B350" s="45">
        <v>5169</v>
      </c>
      <c r="C350" s="46" t="s">
        <v>37</v>
      </c>
      <c r="D350" s="66">
        <v>0</v>
      </c>
      <c r="E350" s="66">
        <v>36</v>
      </c>
      <c r="F350" s="129">
        <v>32760</v>
      </c>
      <c r="G350" s="231">
        <v>0</v>
      </c>
      <c r="H350" s="237"/>
      <c r="I350" s="258"/>
      <c r="J350" s="258"/>
      <c r="K350" s="258"/>
      <c r="L350" s="258"/>
      <c r="M350" s="258"/>
      <c r="N350" s="258"/>
      <c r="O350" s="258"/>
      <c r="P350" s="258"/>
      <c r="Q350" s="258"/>
      <c r="R350" s="258"/>
      <c r="S350" s="258"/>
      <c r="T350" s="258"/>
      <c r="U350" s="258"/>
      <c r="V350" s="258"/>
      <c r="W350" s="258"/>
      <c r="X350" s="258"/>
      <c r="Y350" s="258"/>
      <c r="Z350" s="258"/>
      <c r="AA350" s="258"/>
      <c r="AB350" s="258"/>
      <c r="AC350" s="258"/>
      <c r="AD350" s="258"/>
      <c r="AE350" s="258"/>
      <c r="AF350" s="258"/>
      <c r="AG350" s="258"/>
      <c r="AH350" s="258"/>
      <c r="AI350" s="258"/>
      <c r="AJ350" s="258"/>
      <c r="AK350" s="258"/>
      <c r="AL350" s="258"/>
      <c r="AM350" s="258"/>
      <c r="AN350" s="258"/>
      <c r="AO350" s="258"/>
      <c r="AP350" s="258"/>
      <c r="AQ350" s="258"/>
      <c r="AR350" s="258"/>
      <c r="AS350" s="258"/>
      <c r="AT350" s="258"/>
      <c r="AU350" s="258"/>
      <c r="AV350" s="258"/>
      <c r="AW350" s="258"/>
      <c r="AX350" s="258"/>
      <c r="AY350" s="258"/>
      <c r="AZ350" s="258"/>
      <c r="BA350" s="258"/>
      <c r="BB350" s="258"/>
      <c r="BC350" s="258"/>
      <c r="BD350" s="258"/>
      <c r="BE350" s="258"/>
      <c r="BF350" s="258"/>
      <c r="BG350" s="258"/>
    </row>
    <row r="351" spans="1:59" s="159" customFormat="1" x14ac:dyDescent="0.2">
      <c r="A351" s="8">
        <v>6114</v>
      </c>
      <c r="B351" s="45">
        <v>5175</v>
      </c>
      <c r="C351" s="46" t="s">
        <v>13</v>
      </c>
      <c r="D351" s="66">
        <v>0</v>
      </c>
      <c r="E351" s="66">
        <f>10+2</f>
        <v>12</v>
      </c>
      <c r="F351" s="129">
        <v>12028.76</v>
      </c>
      <c r="G351" s="231">
        <v>0</v>
      </c>
      <c r="H351" s="237"/>
      <c r="I351" s="258"/>
      <c r="J351" s="258"/>
      <c r="K351" s="258"/>
      <c r="L351" s="258"/>
      <c r="M351" s="258"/>
      <c r="N351" s="258"/>
      <c r="O351" s="258"/>
      <c r="P351" s="258"/>
      <c r="Q351" s="258"/>
      <c r="R351" s="258"/>
      <c r="S351" s="258"/>
      <c r="T351" s="258"/>
      <c r="U351" s="258"/>
      <c r="V351" s="258"/>
      <c r="W351" s="258"/>
      <c r="X351" s="258"/>
      <c r="Y351" s="258"/>
      <c r="Z351" s="258"/>
      <c r="AA351" s="258"/>
      <c r="AB351" s="258"/>
      <c r="AC351" s="258"/>
      <c r="AD351" s="258"/>
      <c r="AE351" s="258"/>
      <c r="AF351" s="258"/>
      <c r="AG351" s="258"/>
      <c r="AH351" s="258"/>
      <c r="AI351" s="258"/>
      <c r="AJ351" s="258"/>
      <c r="AK351" s="258"/>
      <c r="AL351" s="258"/>
      <c r="AM351" s="258"/>
      <c r="AN351" s="258"/>
      <c r="AO351" s="258"/>
      <c r="AP351" s="258"/>
      <c r="AQ351" s="258"/>
      <c r="AR351" s="258"/>
      <c r="AS351" s="258"/>
      <c r="AT351" s="258"/>
      <c r="AU351" s="258"/>
      <c r="AV351" s="258"/>
      <c r="AW351" s="258"/>
      <c r="AX351" s="258"/>
      <c r="AY351" s="258"/>
      <c r="AZ351" s="258"/>
      <c r="BA351" s="258"/>
      <c r="BB351" s="258"/>
      <c r="BC351" s="258"/>
      <c r="BD351" s="258"/>
      <c r="BE351" s="258"/>
      <c r="BF351" s="258"/>
      <c r="BG351" s="258"/>
    </row>
    <row r="352" spans="1:59" s="2" customFormat="1" ht="15.75" x14ac:dyDescent="0.25">
      <c r="A352" s="24">
        <v>6114</v>
      </c>
      <c r="B352" s="206"/>
      <c r="C352" s="207" t="s">
        <v>331</v>
      </c>
      <c r="D352" s="67">
        <v>0</v>
      </c>
      <c r="E352" s="67">
        <f>SUM(E342:E351)</f>
        <v>239</v>
      </c>
      <c r="F352" s="133">
        <f>SUM(F342:F351)</f>
        <v>238048.23</v>
      </c>
      <c r="G352" s="233">
        <v>0</v>
      </c>
      <c r="H352" s="239">
        <v>0</v>
      </c>
      <c r="I352" s="258"/>
      <c r="J352" s="258"/>
      <c r="K352" s="259"/>
      <c r="L352" s="259"/>
      <c r="M352" s="259"/>
      <c r="N352" s="259"/>
      <c r="O352" s="259"/>
      <c r="P352" s="259"/>
      <c r="Q352" s="259"/>
      <c r="R352" s="259"/>
      <c r="S352" s="259"/>
      <c r="T352" s="259"/>
      <c r="U352" s="259"/>
      <c r="V352" s="259"/>
      <c r="W352" s="259"/>
      <c r="X352" s="259"/>
      <c r="Y352" s="259"/>
      <c r="Z352" s="259"/>
      <c r="AA352" s="259"/>
      <c r="AB352" s="259"/>
      <c r="AC352" s="259"/>
      <c r="AD352" s="259"/>
      <c r="AE352" s="259"/>
      <c r="AF352" s="259"/>
      <c r="AG352" s="259"/>
      <c r="AH352" s="259"/>
      <c r="AI352" s="259"/>
      <c r="AJ352" s="259"/>
      <c r="AK352" s="259"/>
      <c r="AL352" s="259"/>
      <c r="AM352" s="259"/>
      <c r="AN352" s="259"/>
      <c r="AO352" s="259"/>
      <c r="AP352" s="259"/>
      <c r="AQ352" s="259"/>
      <c r="AR352" s="259"/>
      <c r="AS352" s="259"/>
      <c r="AT352" s="259"/>
      <c r="AU352" s="259"/>
      <c r="AV352" s="259"/>
      <c r="AW352" s="259"/>
      <c r="AX352" s="259"/>
      <c r="AY352" s="259"/>
      <c r="AZ352" s="259"/>
      <c r="BA352" s="259"/>
      <c r="BB352" s="259"/>
      <c r="BC352" s="259"/>
      <c r="BD352" s="259"/>
      <c r="BE352" s="259"/>
      <c r="BF352" s="259"/>
      <c r="BG352" s="259"/>
    </row>
    <row r="353" spans="1:59" s="2" customFormat="1" x14ac:dyDescent="0.2">
      <c r="A353" s="8"/>
      <c r="B353" s="45"/>
      <c r="C353" s="62"/>
      <c r="D353" s="66"/>
      <c r="E353" s="66"/>
      <c r="F353" s="129"/>
      <c r="G353" s="231"/>
      <c r="H353" s="237"/>
      <c r="I353" s="258"/>
      <c r="J353" s="258"/>
      <c r="K353" s="259"/>
      <c r="L353" s="259"/>
      <c r="M353" s="259"/>
      <c r="N353" s="259"/>
      <c r="O353" s="259"/>
      <c r="P353" s="259"/>
      <c r="Q353" s="259"/>
      <c r="R353" s="259"/>
      <c r="S353" s="259"/>
      <c r="T353" s="259"/>
      <c r="U353" s="259"/>
      <c r="V353" s="259"/>
      <c r="W353" s="259"/>
      <c r="X353" s="259"/>
      <c r="Y353" s="259"/>
      <c r="Z353" s="259"/>
      <c r="AA353" s="259"/>
      <c r="AB353" s="259"/>
      <c r="AC353" s="259"/>
      <c r="AD353" s="259"/>
      <c r="AE353" s="259"/>
      <c r="AF353" s="259"/>
      <c r="AG353" s="259"/>
      <c r="AH353" s="259"/>
      <c r="AI353" s="259"/>
      <c r="AJ353" s="259"/>
      <c r="AK353" s="259"/>
      <c r="AL353" s="259"/>
      <c r="AM353" s="259"/>
      <c r="AN353" s="259"/>
      <c r="AO353" s="259"/>
      <c r="AP353" s="259"/>
      <c r="AQ353" s="259"/>
      <c r="AR353" s="259"/>
      <c r="AS353" s="259"/>
      <c r="AT353" s="259"/>
      <c r="AU353" s="259"/>
      <c r="AV353" s="259"/>
      <c r="AW353" s="259"/>
      <c r="AX353" s="259"/>
      <c r="AY353" s="259"/>
      <c r="AZ353" s="259"/>
      <c r="BA353" s="259"/>
      <c r="BB353" s="259"/>
      <c r="BC353" s="259"/>
      <c r="BD353" s="259"/>
      <c r="BE353" s="259"/>
      <c r="BF353" s="259"/>
      <c r="BG353" s="259"/>
    </row>
    <row r="354" spans="1:59" s="3" customFormat="1" x14ac:dyDescent="0.2">
      <c r="A354" s="8">
        <v>6171</v>
      </c>
      <c r="B354" s="45">
        <v>5011</v>
      </c>
      <c r="C354" s="62" t="s">
        <v>14</v>
      </c>
      <c r="D354" s="66">
        <f t="shared" ref="D354:E354" si="8">7500+250</f>
        <v>7750</v>
      </c>
      <c r="E354" s="66">
        <f t="shared" si="8"/>
        <v>7750</v>
      </c>
      <c r="F354" s="129">
        <v>6031215</v>
      </c>
      <c r="G354" s="231">
        <v>8140</v>
      </c>
      <c r="H354" s="237"/>
      <c r="I354" s="251"/>
      <c r="J354" s="251"/>
      <c r="K354" s="265"/>
      <c r="L354" s="265"/>
      <c r="M354" s="265"/>
      <c r="N354" s="265"/>
      <c r="O354" s="265"/>
      <c r="P354" s="265"/>
      <c r="Q354" s="265"/>
      <c r="R354" s="265"/>
      <c r="S354" s="265"/>
      <c r="T354" s="265"/>
      <c r="U354" s="265"/>
      <c r="V354" s="265"/>
      <c r="W354" s="265"/>
      <c r="X354" s="265"/>
      <c r="Y354" s="265"/>
      <c r="Z354" s="265"/>
      <c r="AA354" s="265"/>
      <c r="AB354" s="265"/>
      <c r="AC354" s="265"/>
      <c r="AD354" s="265"/>
      <c r="AE354" s="265"/>
      <c r="AF354" s="265"/>
      <c r="AG354" s="265"/>
      <c r="AH354" s="265"/>
      <c r="AI354" s="265"/>
      <c r="AJ354" s="265"/>
      <c r="AK354" s="265"/>
      <c r="AL354" s="265"/>
      <c r="AM354" s="265"/>
      <c r="AN354" s="265"/>
      <c r="AO354" s="265"/>
      <c r="AP354" s="265"/>
      <c r="AQ354" s="265"/>
      <c r="AR354" s="265"/>
      <c r="AS354" s="265"/>
      <c r="AT354" s="265"/>
      <c r="AU354" s="265"/>
      <c r="AV354" s="265"/>
      <c r="AW354" s="265"/>
      <c r="AX354" s="265"/>
      <c r="AY354" s="265"/>
      <c r="AZ354" s="265"/>
      <c r="BA354" s="265"/>
      <c r="BB354" s="265"/>
      <c r="BC354" s="265"/>
      <c r="BD354" s="265"/>
      <c r="BE354" s="265"/>
      <c r="BF354" s="265"/>
      <c r="BG354" s="265"/>
    </row>
    <row r="355" spans="1:59" s="3" customFormat="1" x14ac:dyDescent="0.2">
      <c r="A355" s="47">
        <v>6171</v>
      </c>
      <c r="B355" s="48">
        <v>5021</v>
      </c>
      <c r="C355" s="46" t="s">
        <v>17</v>
      </c>
      <c r="D355" s="66">
        <v>300</v>
      </c>
      <c r="E355" s="66">
        <v>300</v>
      </c>
      <c r="F355" s="129">
        <v>130492</v>
      </c>
      <c r="G355" s="231">
        <v>315</v>
      </c>
      <c r="H355" s="237"/>
      <c r="I355" s="251"/>
      <c r="J355" s="251"/>
      <c r="K355" s="265"/>
      <c r="L355" s="265"/>
      <c r="M355" s="265"/>
      <c r="N355" s="265"/>
      <c r="O355" s="265"/>
      <c r="P355" s="265"/>
      <c r="Q355" s="265"/>
      <c r="R355" s="265"/>
      <c r="S355" s="265"/>
      <c r="T355" s="265"/>
      <c r="U355" s="265"/>
      <c r="V355" s="265"/>
      <c r="W355" s="265"/>
      <c r="X355" s="265"/>
      <c r="Y355" s="265"/>
      <c r="Z355" s="265"/>
      <c r="AA355" s="265"/>
      <c r="AB355" s="265"/>
      <c r="AC355" s="265"/>
      <c r="AD355" s="265"/>
      <c r="AE355" s="265"/>
      <c r="AF355" s="265"/>
      <c r="AG355" s="265"/>
      <c r="AH355" s="265"/>
      <c r="AI355" s="265"/>
      <c r="AJ355" s="265"/>
      <c r="AK355" s="265"/>
      <c r="AL355" s="265"/>
      <c r="AM355" s="265"/>
      <c r="AN355" s="265"/>
      <c r="AO355" s="265"/>
      <c r="AP355" s="265"/>
      <c r="AQ355" s="265"/>
      <c r="AR355" s="265"/>
      <c r="AS355" s="265"/>
      <c r="AT355" s="265"/>
      <c r="AU355" s="265"/>
      <c r="AV355" s="265"/>
      <c r="AW355" s="265"/>
      <c r="AX355" s="265"/>
      <c r="AY355" s="265"/>
      <c r="AZ355" s="265"/>
      <c r="BA355" s="265"/>
      <c r="BB355" s="265"/>
      <c r="BC355" s="265"/>
      <c r="BD355" s="265"/>
      <c r="BE355" s="265"/>
      <c r="BF355" s="265"/>
      <c r="BG355" s="265"/>
    </row>
    <row r="356" spans="1:59" s="3" customFormat="1" x14ac:dyDescent="0.2">
      <c r="A356" s="47">
        <v>6171</v>
      </c>
      <c r="B356" s="48">
        <v>5031</v>
      </c>
      <c r="C356" s="46" t="s">
        <v>129</v>
      </c>
      <c r="D356" s="66">
        <v>1922</v>
      </c>
      <c r="E356" s="66">
        <v>1922</v>
      </c>
      <c r="F356" s="129">
        <v>1534183</v>
      </c>
      <c r="G356" s="231">
        <v>2019</v>
      </c>
      <c r="H356" s="237"/>
      <c r="I356" s="251"/>
      <c r="J356" s="251"/>
      <c r="K356" s="265"/>
      <c r="L356" s="265"/>
      <c r="M356" s="265"/>
      <c r="N356" s="265"/>
      <c r="O356" s="265"/>
      <c r="P356" s="265"/>
      <c r="Q356" s="265"/>
      <c r="R356" s="265"/>
      <c r="S356" s="265"/>
      <c r="T356" s="265"/>
      <c r="U356" s="265"/>
      <c r="V356" s="265"/>
      <c r="W356" s="265"/>
      <c r="X356" s="265"/>
      <c r="Y356" s="265"/>
      <c r="Z356" s="265"/>
      <c r="AA356" s="265"/>
      <c r="AB356" s="265"/>
      <c r="AC356" s="265"/>
      <c r="AD356" s="265"/>
      <c r="AE356" s="265"/>
      <c r="AF356" s="265"/>
      <c r="AG356" s="265"/>
      <c r="AH356" s="265"/>
      <c r="AI356" s="265"/>
      <c r="AJ356" s="265"/>
      <c r="AK356" s="265"/>
      <c r="AL356" s="265"/>
      <c r="AM356" s="265"/>
      <c r="AN356" s="265"/>
      <c r="AO356" s="265"/>
      <c r="AP356" s="265"/>
      <c r="AQ356" s="265"/>
      <c r="AR356" s="265"/>
      <c r="AS356" s="265"/>
      <c r="AT356" s="265"/>
      <c r="AU356" s="265"/>
      <c r="AV356" s="265"/>
      <c r="AW356" s="265"/>
      <c r="AX356" s="265"/>
      <c r="AY356" s="265"/>
      <c r="AZ356" s="265"/>
      <c r="BA356" s="265"/>
      <c r="BB356" s="265"/>
      <c r="BC356" s="265"/>
      <c r="BD356" s="265"/>
      <c r="BE356" s="265"/>
      <c r="BF356" s="265"/>
      <c r="BG356" s="265"/>
    </row>
    <row r="357" spans="1:59" s="3" customFormat="1" x14ac:dyDescent="0.2">
      <c r="A357" s="47">
        <v>6171</v>
      </c>
      <c r="B357" s="48">
        <v>5032</v>
      </c>
      <c r="C357" s="46" t="s">
        <v>33</v>
      </c>
      <c r="D357" s="66">
        <v>698</v>
      </c>
      <c r="E357" s="66">
        <v>698</v>
      </c>
      <c r="F357" s="129">
        <v>545153</v>
      </c>
      <c r="G357" s="231">
        <v>733</v>
      </c>
      <c r="H357" s="237"/>
      <c r="I357" s="251"/>
      <c r="J357" s="251"/>
      <c r="K357" s="265"/>
      <c r="L357" s="265"/>
      <c r="M357" s="265"/>
      <c r="N357" s="265"/>
      <c r="O357" s="265"/>
      <c r="P357" s="265"/>
      <c r="Q357" s="265"/>
      <c r="R357" s="265"/>
      <c r="S357" s="265"/>
      <c r="T357" s="265"/>
      <c r="U357" s="265"/>
      <c r="V357" s="265"/>
      <c r="W357" s="265"/>
      <c r="X357" s="265"/>
      <c r="Y357" s="265"/>
      <c r="Z357" s="265"/>
      <c r="AA357" s="265"/>
      <c r="AB357" s="265"/>
      <c r="AC357" s="265"/>
      <c r="AD357" s="265"/>
      <c r="AE357" s="265"/>
      <c r="AF357" s="265"/>
      <c r="AG357" s="265"/>
      <c r="AH357" s="265"/>
      <c r="AI357" s="265"/>
      <c r="AJ357" s="265"/>
      <c r="AK357" s="265"/>
      <c r="AL357" s="265"/>
      <c r="AM357" s="265"/>
      <c r="AN357" s="265"/>
      <c r="AO357" s="265"/>
      <c r="AP357" s="265"/>
      <c r="AQ357" s="265"/>
      <c r="AR357" s="265"/>
      <c r="AS357" s="265"/>
      <c r="AT357" s="265"/>
      <c r="AU357" s="265"/>
      <c r="AV357" s="265"/>
      <c r="AW357" s="265"/>
      <c r="AX357" s="265"/>
      <c r="AY357" s="265"/>
      <c r="AZ357" s="265"/>
      <c r="BA357" s="265"/>
      <c r="BB357" s="265"/>
      <c r="BC357" s="265"/>
      <c r="BD357" s="265"/>
      <c r="BE357" s="265"/>
      <c r="BF357" s="265"/>
      <c r="BG357" s="265"/>
    </row>
    <row r="358" spans="1:59" s="3" customFormat="1" ht="30" x14ac:dyDescent="0.2">
      <c r="A358" s="47">
        <v>6171</v>
      </c>
      <c r="B358" s="48">
        <v>5038</v>
      </c>
      <c r="C358" s="46" t="s">
        <v>168</v>
      </c>
      <c r="D358" s="66">
        <v>60</v>
      </c>
      <c r="E358" s="66">
        <v>60</v>
      </c>
      <c r="F358" s="129">
        <v>37503</v>
      </c>
      <c r="G358" s="231">
        <v>60</v>
      </c>
      <c r="H358" s="237"/>
      <c r="I358" s="251"/>
      <c r="J358" s="251"/>
      <c r="K358" s="265"/>
      <c r="L358" s="265"/>
      <c r="M358" s="265"/>
      <c r="N358" s="265"/>
      <c r="O358" s="265"/>
      <c r="P358" s="265"/>
      <c r="Q358" s="265"/>
      <c r="R358" s="265"/>
      <c r="S358" s="265"/>
      <c r="T358" s="265"/>
      <c r="U358" s="265"/>
      <c r="V358" s="265"/>
      <c r="W358" s="265"/>
      <c r="X358" s="265"/>
      <c r="Y358" s="265"/>
      <c r="Z358" s="265"/>
      <c r="AA358" s="265"/>
      <c r="AB358" s="265"/>
      <c r="AC358" s="265"/>
      <c r="AD358" s="265"/>
      <c r="AE358" s="265"/>
      <c r="AF358" s="265"/>
      <c r="AG358" s="265"/>
      <c r="AH358" s="265"/>
      <c r="AI358" s="265"/>
      <c r="AJ358" s="265"/>
      <c r="AK358" s="265"/>
      <c r="AL358" s="265"/>
      <c r="AM358" s="265"/>
      <c r="AN358" s="265"/>
      <c r="AO358" s="265"/>
      <c r="AP358" s="265"/>
      <c r="AQ358" s="265"/>
      <c r="AR358" s="265"/>
      <c r="AS358" s="265"/>
      <c r="AT358" s="265"/>
      <c r="AU358" s="265"/>
      <c r="AV358" s="265"/>
      <c r="AW358" s="265"/>
      <c r="AX358" s="265"/>
      <c r="AY358" s="265"/>
      <c r="AZ358" s="265"/>
      <c r="BA358" s="265"/>
      <c r="BB358" s="265"/>
      <c r="BC358" s="265"/>
      <c r="BD358" s="265"/>
      <c r="BE358" s="265"/>
      <c r="BF358" s="265"/>
      <c r="BG358" s="265"/>
    </row>
    <row r="359" spans="1:59" s="3" customFormat="1" x14ac:dyDescent="0.2">
      <c r="A359" s="47">
        <v>6171</v>
      </c>
      <c r="B359" s="48">
        <v>5133</v>
      </c>
      <c r="C359" s="46" t="s">
        <v>173</v>
      </c>
      <c r="D359" s="66">
        <v>1</v>
      </c>
      <c r="E359" s="66">
        <v>1</v>
      </c>
      <c r="F359" s="129">
        <v>0</v>
      </c>
      <c r="G359" s="231">
        <v>1.5</v>
      </c>
      <c r="H359" s="237"/>
      <c r="I359" s="251"/>
      <c r="J359" s="251"/>
      <c r="K359" s="265"/>
      <c r="L359" s="265"/>
      <c r="M359" s="265"/>
      <c r="N359" s="265"/>
      <c r="O359" s="265"/>
      <c r="P359" s="265"/>
      <c r="Q359" s="265"/>
      <c r="R359" s="265"/>
      <c r="S359" s="265"/>
      <c r="T359" s="265"/>
      <c r="U359" s="265"/>
      <c r="V359" s="265"/>
      <c r="W359" s="265"/>
      <c r="X359" s="265"/>
      <c r="Y359" s="265"/>
      <c r="Z359" s="265"/>
      <c r="AA359" s="265"/>
      <c r="AB359" s="265"/>
      <c r="AC359" s="265"/>
      <c r="AD359" s="265"/>
      <c r="AE359" s="265"/>
      <c r="AF359" s="265"/>
      <c r="AG359" s="265"/>
      <c r="AH359" s="265"/>
      <c r="AI359" s="265"/>
      <c r="AJ359" s="265"/>
      <c r="AK359" s="265"/>
      <c r="AL359" s="265"/>
      <c r="AM359" s="265"/>
      <c r="AN359" s="265"/>
      <c r="AO359" s="265"/>
      <c r="AP359" s="265"/>
      <c r="AQ359" s="265"/>
      <c r="AR359" s="265"/>
      <c r="AS359" s="265"/>
      <c r="AT359" s="265"/>
      <c r="AU359" s="265"/>
      <c r="AV359" s="265"/>
      <c r="AW359" s="265"/>
      <c r="AX359" s="265"/>
      <c r="AY359" s="265"/>
      <c r="AZ359" s="265"/>
      <c r="BA359" s="265"/>
      <c r="BB359" s="265"/>
      <c r="BC359" s="265"/>
      <c r="BD359" s="265"/>
      <c r="BE359" s="265"/>
      <c r="BF359" s="265"/>
      <c r="BG359" s="265"/>
    </row>
    <row r="360" spans="1:59" s="3" customFormat="1" x14ac:dyDescent="0.2">
      <c r="A360" s="47">
        <v>6171</v>
      </c>
      <c r="B360" s="48">
        <v>5134</v>
      </c>
      <c r="C360" s="46" t="s">
        <v>179</v>
      </c>
      <c r="D360" s="66">
        <v>10</v>
      </c>
      <c r="E360" s="66">
        <v>10</v>
      </c>
      <c r="F360" s="129">
        <v>15993</v>
      </c>
      <c r="G360" s="231">
        <v>15</v>
      </c>
      <c r="H360" s="237"/>
      <c r="I360" s="251"/>
      <c r="J360" s="251"/>
      <c r="K360" s="265"/>
      <c r="L360" s="265"/>
      <c r="M360" s="265"/>
      <c r="N360" s="265"/>
      <c r="O360" s="265"/>
      <c r="P360" s="265"/>
      <c r="Q360" s="265"/>
      <c r="R360" s="265"/>
      <c r="S360" s="265"/>
      <c r="T360" s="265"/>
      <c r="U360" s="265"/>
      <c r="V360" s="265"/>
      <c r="W360" s="265"/>
      <c r="X360" s="265"/>
      <c r="Y360" s="265"/>
      <c r="Z360" s="265"/>
      <c r="AA360" s="265"/>
      <c r="AB360" s="265"/>
      <c r="AC360" s="265"/>
      <c r="AD360" s="265"/>
      <c r="AE360" s="265"/>
      <c r="AF360" s="265"/>
      <c r="AG360" s="265"/>
      <c r="AH360" s="265"/>
      <c r="AI360" s="265"/>
      <c r="AJ360" s="265"/>
      <c r="AK360" s="265"/>
      <c r="AL360" s="265"/>
      <c r="AM360" s="265"/>
      <c r="AN360" s="265"/>
      <c r="AO360" s="265"/>
      <c r="AP360" s="265"/>
      <c r="AQ360" s="265"/>
      <c r="AR360" s="265"/>
      <c r="AS360" s="265"/>
      <c r="AT360" s="265"/>
      <c r="AU360" s="265"/>
      <c r="AV360" s="265"/>
      <c r="AW360" s="265"/>
      <c r="AX360" s="265"/>
      <c r="AY360" s="265"/>
      <c r="AZ360" s="265"/>
      <c r="BA360" s="265"/>
      <c r="BB360" s="265"/>
      <c r="BC360" s="265"/>
      <c r="BD360" s="265"/>
      <c r="BE360" s="265"/>
      <c r="BF360" s="265"/>
      <c r="BG360" s="265"/>
    </row>
    <row r="361" spans="1:59" s="3" customFormat="1" x14ac:dyDescent="0.2">
      <c r="A361" s="47">
        <v>6171</v>
      </c>
      <c r="B361" s="48">
        <v>5136</v>
      </c>
      <c r="C361" s="46" t="s">
        <v>165</v>
      </c>
      <c r="D361" s="66">
        <v>15</v>
      </c>
      <c r="E361" s="66">
        <v>15</v>
      </c>
      <c r="F361" s="129">
        <v>10658</v>
      </c>
      <c r="G361" s="231">
        <v>15</v>
      </c>
      <c r="H361" s="237"/>
      <c r="I361" s="251"/>
      <c r="J361" s="251"/>
      <c r="K361" s="265"/>
      <c r="L361" s="265"/>
      <c r="M361" s="265"/>
      <c r="N361" s="265"/>
      <c r="O361" s="265"/>
      <c r="P361" s="265"/>
      <c r="Q361" s="265"/>
      <c r="R361" s="265"/>
      <c r="S361" s="265"/>
      <c r="T361" s="265"/>
      <c r="U361" s="265"/>
      <c r="V361" s="265"/>
      <c r="W361" s="265"/>
      <c r="X361" s="265"/>
      <c r="Y361" s="265"/>
      <c r="Z361" s="265"/>
      <c r="AA361" s="265"/>
      <c r="AB361" s="265"/>
      <c r="AC361" s="265"/>
      <c r="AD361" s="265"/>
      <c r="AE361" s="265"/>
      <c r="AF361" s="265"/>
      <c r="AG361" s="265"/>
      <c r="AH361" s="265"/>
      <c r="AI361" s="265"/>
      <c r="AJ361" s="265"/>
      <c r="AK361" s="265"/>
      <c r="AL361" s="265"/>
      <c r="AM361" s="265"/>
      <c r="AN361" s="265"/>
      <c r="AO361" s="265"/>
      <c r="AP361" s="265"/>
      <c r="AQ361" s="265"/>
      <c r="AR361" s="265"/>
      <c r="AS361" s="265"/>
      <c r="AT361" s="265"/>
      <c r="AU361" s="265"/>
      <c r="AV361" s="265"/>
      <c r="AW361" s="265"/>
      <c r="AX361" s="265"/>
      <c r="AY361" s="265"/>
      <c r="AZ361" s="265"/>
      <c r="BA361" s="265"/>
      <c r="BB361" s="265"/>
      <c r="BC361" s="265"/>
      <c r="BD361" s="265"/>
      <c r="BE361" s="265"/>
      <c r="BF361" s="265"/>
      <c r="BG361" s="265"/>
    </row>
    <row r="362" spans="1:59" s="3" customFormat="1" x14ac:dyDescent="0.2">
      <c r="A362" s="47">
        <v>6171</v>
      </c>
      <c r="B362" s="48">
        <v>5137</v>
      </c>
      <c r="C362" s="46" t="s">
        <v>374</v>
      </c>
      <c r="D362" s="66">
        <v>190</v>
      </c>
      <c r="E362" s="66">
        <v>190</v>
      </c>
      <c r="F362" s="129">
        <v>164229</v>
      </c>
      <c r="G362" s="231">
        <f>290+120</f>
        <v>410</v>
      </c>
      <c r="H362" s="237"/>
      <c r="I362" s="251"/>
      <c r="J362" s="251"/>
      <c r="K362" s="265"/>
      <c r="L362" s="265"/>
      <c r="M362" s="265"/>
      <c r="N362" s="265"/>
      <c r="O362" s="265"/>
      <c r="P362" s="265"/>
      <c r="Q362" s="265"/>
      <c r="R362" s="265"/>
      <c r="S362" s="265"/>
      <c r="T362" s="265"/>
      <c r="U362" s="265"/>
      <c r="V362" s="265"/>
      <c r="W362" s="265"/>
      <c r="X362" s="265"/>
      <c r="Y362" s="265"/>
      <c r="Z362" s="265"/>
      <c r="AA362" s="265"/>
      <c r="AB362" s="265"/>
      <c r="AC362" s="265"/>
      <c r="AD362" s="265"/>
      <c r="AE362" s="265"/>
      <c r="AF362" s="265"/>
      <c r="AG362" s="265"/>
      <c r="AH362" s="265"/>
      <c r="AI362" s="265"/>
      <c r="AJ362" s="265"/>
      <c r="AK362" s="265"/>
      <c r="AL362" s="265"/>
      <c r="AM362" s="265"/>
      <c r="AN362" s="265"/>
      <c r="AO362" s="265"/>
      <c r="AP362" s="265"/>
      <c r="AQ362" s="265"/>
      <c r="AR362" s="265"/>
      <c r="AS362" s="265"/>
      <c r="AT362" s="265"/>
      <c r="AU362" s="265"/>
      <c r="AV362" s="265"/>
      <c r="AW362" s="265"/>
      <c r="AX362" s="265"/>
      <c r="AY362" s="265"/>
      <c r="AZ362" s="265"/>
      <c r="BA362" s="265"/>
      <c r="BB362" s="265"/>
      <c r="BC362" s="265"/>
      <c r="BD362" s="265"/>
      <c r="BE362" s="265"/>
      <c r="BF362" s="265"/>
      <c r="BG362" s="265"/>
    </row>
    <row r="363" spans="1:59" s="3" customFormat="1" x14ac:dyDescent="0.2">
      <c r="A363" s="47">
        <v>6171</v>
      </c>
      <c r="B363" s="48">
        <v>5139</v>
      </c>
      <c r="C363" s="46" t="s">
        <v>4</v>
      </c>
      <c r="D363" s="66">
        <v>180</v>
      </c>
      <c r="E363" s="66">
        <v>180</v>
      </c>
      <c r="F363" s="129">
        <v>129193.59</v>
      </c>
      <c r="G363" s="231">
        <v>180</v>
      </c>
      <c r="H363" s="237"/>
      <c r="I363" s="251"/>
      <c r="J363" s="251"/>
      <c r="K363" s="265"/>
      <c r="L363" s="265"/>
      <c r="M363" s="265"/>
      <c r="N363" s="265"/>
      <c r="O363" s="265"/>
      <c r="P363" s="265"/>
      <c r="Q363" s="265"/>
      <c r="R363" s="265"/>
      <c r="S363" s="265"/>
      <c r="T363" s="265"/>
      <c r="U363" s="265"/>
      <c r="V363" s="265"/>
      <c r="W363" s="265"/>
      <c r="X363" s="265"/>
      <c r="Y363" s="265"/>
      <c r="Z363" s="265"/>
      <c r="AA363" s="265"/>
      <c r="AB363" s="265"/>
      <c r="AC363" s="265"/>
      <c r="AD363" s="265"/>
      <c r="AE363" s="265"/>
      <c r="AF363" s="265"/>
      <c r="AG363" s="265"/>
      <c r="AH363" s="265"/>
      <c r="AI363" s="265"/>
      <c r="AJ363" s="265"/>
      <c r="AK363" s="265"/>
      <c r="AL363" s="265"/>
      <c r="AM363" s="265"/>
      <c r="AN363" s="265"/>
      <c r="AO363" s="265"/>
      <c r="AP363" s="265"/>
      <c r="AQ363" s="265"/>
      <c r="AR363" s="265"/>
      <c r="AS363" s="265"/>
      <c r="AT363" s="265"/>
      <c r="AU363" s="265"/>
      <c r="AV363" s="265"/>
      <c r="AW363" s="265"/>
      <c r="AX363" s="265"/>
      <c r="AY363" s="265"/>
      <c r="AZ363" s="265"/>
      <c r="BA363" s="265"/>
      <c r="BB363" s="265"/>
      <c r="BC363" s="265"/>
      <c r="BD363" s="265"/>
      <c r="BE363" s="265"/>
      <c r="BF363" s="265"/>
      <c r="BG363" s="265"/>
    </row>
    <row r="364" spans="1:59" s="3" customFormat="1" x14ac:dyDescent="0.2">
      <c r="A364" s="47">
        <v>6171</v>
      </c>
      <c r="B364" s="48">
        <v>5151</v>
      </c>
      <c r="C364" s="46" t="s">
        <v>10</v>
      </c>
      <c r="D364" s="66">
        <v>60</v>
      </c>
      <c r="E364" s="66">
        <v>60</v>
      </c>
      <c r="F364" s="129">
        <v>62195</v>
      </c>
      <c r="G364" s="231">
        <v>65</v>
      </c>
      <c r="H364" s="237"/>
      <c r="I364" s="251"/>
      <c r="J364" s="251"/>
      <c r="K364" s="265"/>
      <c r="L364" s="265"/>
      <c r="M364" s="265"/>
      <c r="N364" s="265"/>
      <c r="O364" s="265"/>
      <c r="P364" s="265"/>
      <c r="Q364" s="265"/>
      <c r="R364" s="265"/>
      <c r="S364" s="265"/>
      <c r="T364" s="265"/>
      <c r="U364" s="265"/>
      <c r="V364" s="265"/>
      <c r="W364" s="265"/>
      <c r="X364" s="265"/>
      <c r="Y364" s="265"/>
      <c r="Z364" s="265"/>
      <c r="AA364" s="265"/>
      <c r="AB364" s="265"/>
      <c r="AC364" s="265"/>
      <c r="AD364" s="265"/>
      <c r="AE364" s="265"/>
      <c r="AF364" s="265"/>
      <c r="AG364" s="265"/>
      <c r="AH364" s="265"/>
      <c r="AI364" s="265"/>
      <c r="AJ364" s="265"/>
      <c r="AK364" s="265"/>
      <c r="AL364" s="265"/>
      <c r="AM364" s="265"/>
      <c r="AN364" s="265"/>
      <c r="AO364" s="265"/>
      <c r="AP364" s="265"/>
      <c r="AQ364" s="265"/>
      <c r="AR364" s="265"/>
      <c r="AS364" s="265"/>
      <c r="AT364" s="265"/>
      <c r="AU364" s="265"/>
      <c r="AV364" s="265"/>
      <c r="AW364" s="265"/>
      <c r="AX364" s="265"/>
      <c r="AY364" s="265"/>
      <c r="AZ364" s="265"/>
      <c r="BA364" s="265"/>
      <c r="BB364" s="265"/>
      <c r="BC364" s="265"/>
      <c r="BD364" s="265"/>
      <c r="BE364" s="265"/>
      <c r="BF364" s="265"/>
      <c r="BG364" s="265"/>
    </row>
    <row r="365" spans="1:59" s="3" customFormat="1" x14ac:dyDescent="0.2">
      <c r="A365" s="47">
        <v>6171</v>
      </c>
      <c r="B365" s="48">
        <v>5153</v>
      </c>
      <c r="C365" s="46" t="s">
        <v>11</v>
      </c>
      <c r="D365" s="66">
        <v>250</v>
      </c>
      <c r="E365" s="66">
        <v>250</v>
      </c>
      <c r="F365" s="129">
        <v>228800</v>
      </c>
      <c r="G365" s="231">
        <v>250</v>
      </c>
      <c r="H365" s="237"/>
      <c r="I365" s="251"/>
      <c r="J365" s="251"/>
      <c r="K365" s="265"/>
      <c r="L365" s="265"/>
      <c r="M365" s="265"/>
      <c r="N365" s="265"/>
      <c r="O365" s="265"/>
      <c r="P365" s="265"/>
      <c r="Q365" s="265"/>
      <c r="R365" s="265"/>
      <c r="S365" s="265"/>
      <c r="T365" s="265"/>
      <c r="U365" s="265"/>
      <c r="V365" s="265"/>
      <c r="W365" s="265"/>
      <c r="X365" s="265"/>
      <c r="Y365" s="265"/>
      <c r="Z365" s="265"/>
      <c r="AA365" s="265"/>
      <c r="AB365" s="265"/>
      <c r="AC365" s="265"/>
      <c r="AD365" s="265"/>
      <c r="AE365" s="265"/>
      <c r="AF365" s="265"/>
      <c r="AG365" s="265"/>
      <c r="AH365" s="265"/>
      <c r="AI365" s="265"/>
      <c r="AJ365" s="265"/>
      <c r="AK365" s="265"/>
      <c r="AL365" s="265"/>
      <c r="AM365" s="265"/>
      <c r="AN365" s="265"/>
      <c r="AO365" s="265"/>
      <c r="AP365" s="265"/>
      <c r="AQ365" s="265"/>
      <c r="AR365" s="265"/>
      <c r="AS365" s="265"/>
      <c r="AT365" s="265"/>
      <c r="AU365" s="265"/>
      <c r="AV365" s="265"/>
      <c r="AW365" s="265"/>
      <c r="AX365" s="265"/>
      <c r="AY365" s="265"/>
      <c r="AZ365" s="265"/>
      <c r="BA365" s="265"/>
      <c r="BB365" s="265"/>
      <c r="BC365" s="265"/>
      <c r="BD365" s="265"/>
      <c r="BE365" s="265"/>
      <c r="BF365" s="265"/>
      <c r="BG365" s="265"/>
    </row>
    <row r="366" spans="1:59" s="3" customFormat="1" x14ac:dyDescent="0.2">
      <c r="A366" s="47">
        <v>6171</v>
      </c>
      <c r="B366" s="48">
        <v>5154</v>
      </c>
      <c r="C366" s="46" t="s">
        <v>12</v>
      </c>
      <c r="D366" s="66">
        <v>200</v>
      </c>
      <c r="E366" s="66">
        <v>200</v>
      </c>
      <c r="F366" s="129">
        <v>125132</v>
      </c>
      <c r="G366" s="231">
        <v>200</v>
      </c>
      <c r="H366" s="237"/>
      <c r="I366" s="251"/>
      <c r="J366" s="251"/>
      <c r="K366" s="265"/>
      <c r="L366" s="265"/>
      <c r="M366" s="265"/>
      <c r="N366" s="265"/>
      <c r="O366" s="265"/>
      <c r="P366" s="265"/>
      <c r="Q366" s="265"/>
      <c r="R366" s="265"/>
      <c r="S366" s="265"/>
      <c r="T366" s="265"/>
      <c r="U366" s="265"/>
      <c r="V366" s="265"/>
      <c r="W366" s="265"/>
      <c r="X366" s="265"/>
      <c r="Y366" s="265"/>
      <c r="Z366" s="265"/>
      <c r="AA366" s="265"/>
      <c r="AB366" s="265"/>
      <c r="AC366" s="265"/>
      <c r="AD366" s="265"/>
      <c r="AE366" s="265"/>
      <c r="AF366" s="265"/>
      <c r="AG366" s="265"/>
      <c r="AH366" s="265"/>
      <c r="AI366" s="265"/>
      <c r="AJ366" s="265"/>
      <c r="AK366" s="265"/>
      <c r="AL366" s="265"/>
      <c r="AM366" s="265"/>
      <c r="AN366" s="265"/>
      <c r="AO366" s="265"/>
      <c r="AP366" s="265"/>
      <c r="AQ366" s="265"/>
      <c r="AR366" s="265"/>
      <c r="AS366" s="265"/>
      <c r="AT366" s="265"/>
      <c r="AU366" s="265"/>
      <c r="AV366" s="265"/>
      <c r="AW366" s="265"/>
      <c r="AX366" s="265"/>
      <c r="AY366" s="265"/>
      <c r="AZ366" s="265"/>
      <c r="BA366" s="265"/>
      <c r="BB366" s="265"/>
      <c r="BC366" s="265"/>
      <c r="BD366" s="265"/>
      <c r="BE366" s="265"/>
      <c r="BF366" s="265"/>
      <c r="BG366" s="265"/>
    </row>
    <row r="367" spans="1:59" s="3" customFormat="1" x14ac:dyDescent="0.2">
      <c r="A367" s="47">
        <v>6171</v>
      </c>
      <c r="B367" s="48">
        <v>5156</v>
      </c>
      <c r="C367" s="46" t="s">
        <v>21</v>
      </c>
      <c r="D367" s="66">
        <v>18</v>
      </c>
      <c r="E367" s="66">
        <v>18</v>
      </c>
      <c r="F367" s="129">
        <v>17312.169999999998</v>
      </c>
      <c r="G367" s="231">
        <v>20</v>
      </c>
      <c r="H367" s="237"/>
      <c r="I367" s="251"/>
      <c r="J367" s="251"/>
      <c r="K367" s="265"/>
      <c r="L367" s="265"/>
      <c r="M367" s="265"/>
      <c r="N367" s="265"/>
      <c r="O367" s="265"/>
      <c r="P367" s="265"/>
      <c r="Q367" s="265"/>
      <c r="R367" s="265"/>
      <c r="S367" s="265"/>
      <c r="T367" s="265"/>
      <c r="U367" s="265"/>
      <c r="V367" s="265"/>
      <c r="W367" s="265"/>
      <c r="X367" s="265"/>
      <c r="Y367" s="265"/>
      <c r="Z367" s="265"/>
      <c r="AA367" s="265"/>
      <c r="AB367" s="265"/>
      <c r="AC367" s="265"/>
      <c r="AD367" s="265"/>
      <c r="AE367" s="265"/>
      <c r="AF367" s="265"/>
      <c r="AG367" s="265"/>
      <c r="AH367" s="265"/>
      <c r="AI367" s="265"/>
      <c r="AJ367" s="265"/>
      <c r="AK367" s="265"/>
      <c r="AL367" s="265"/>
      <c r="AM367" s="265"/>
      <c r="AN367" s="265"/>
      <c r="AO367" s="265"/>
      <c r="AP367" s="265"/>
      <c r="AQ367" s="265"/>
      <c r="AR367" s="265"/>
      <c r="AS367" s="265"/>
      <c r="AT367" s="265"/>
      <c r="AU367" s="265"/>
      <c r="AV367" s="265"/>
      <c r="AW367" s="265"/>
      <c r="AX367" s="265"/>
      <c r="AY367" s="265"/>
      <c r="AZ367" s="265"/>
      <c r="BA367" s="265"/>
      <c r="BB367" s="265"/>
      <c r="BC367" s="265"/>
      <c r="BD367" s="265"/>
      <c r="BE367" s="265"/>
      <c r="BF367" s="265"/>
      <c r="BG367" s="265"/>
    </row>
    <row r="368" spans="1:59" s="3" customFormat="1" x14ac:dyDescent="0.2">
      <c r="A368" s="47">
        <v>6171</v>
      </c>
      <c r="B368" s="48">
        <v>5161</v>
      </c>
      <c r="C368" s="46" t="s">
        <v>61</v>
      </c>
      <c r="D368" s="66">
        <v>60</v>
      </c>
      <c r="E368" s="66">
        <v>60</v>
      </c>
      <c r="F368" s="129">
        <v>39714</v>
      </c>
      <c r="G368" s="231">
        <v>60</v>
      </c>
      <c r="H368" s="237"/>
      <c r="I368" s="251"/>
      <c r="J368" s="251"/>
      <c r="K368" s="265"/>
      <c r="L368" s="265"/>
      <c r="M368" s="265"/>
      <c r="N368" s="265"/>
      <c r="O368" s="265"/>
      <c r="P368" s="265"/>
      <c r="Q368" s="265"/>
      <c r="R368" s="265"/>
      <c r="S368" s="265"/>
      <c r="T368" s="265"/>
      <c r="U368" s="265"/>
      <c r="V368" s="265"/>
      <c r="W368" s="265"/>
      <c r="X368" s="265"/>
      <c r="Y368" s="265"/>
      <c r="Z368" s="265"/>
      <c r="AA368" s="265"/>
      <c r="AB368" s="265"/>
      <c r="AC368" s="265"/>
      <c r="AD368" s="265"/>
      <c r="AE368" s="265"/>
      <c r="AF368" s="265"/>
      <c r="AG368" s="265"/>
      <c r="AH368" s="265"/>
      <c r="AI368" s="265"/>
      <c r="AJ368" s="265"/>
      <c r="AK368" s="265"/>
      <c r="AL368" s="265"/>
      <c r="AM368" s="265"/>
      <c r="AN368" s="265"/>
      <c r="AO368" s="265"/>
      <c r="AP368" s="265"/>
      <c r="AQ368" s="265"/>
      <c r="AR368" s="265"/>
      <c r="AS368" s="265"/>
      <c r="AT368" s="265"/>
      <c r="AU368" s="265"/>
      <c r="AV368" s="265"/>
      <c r="AW368" s="265"/>
      <c r="AX368" s="265"/>
      <c r="AY368" s="265"/>
      <c r="AZ368" s="265"/>
      <c r="BA368" s="265"/>
      <c r="BB368" s="265"/>
      <c r="BC368" s="265"/>
      <c r="BD368" s="265"/>
      <c r="BE368" s="265"/>
      <c r="BF368" s="265"/>
      <c r="BG368" s="265"/>
    </row>
    <row r="369" spans="1:59" s="3" customFormat="1" x14ac:dyDescent="0.2">
      <c r="A369" s="47">
        <v>6171</v>
      </c>
      <c r="B369" s="48">
        <v>5162</v>
      </c>
      <c r="C369" s="46" t="s">
        <v>96</v>
      </c>
      <c r="D369" s="66">
        <v>120</v>
      </c>
      <c r="E369" s="66">
        <v>120</v>
      </c>
      <c r="F369" s="129">
        <v>91861.91</v>
      </c>
      <c r="G369" s="231">
        <v>130</v>
      </c>
      <c r="H369" s="237"/>
      <c r="I369" s="251"/>
      <c r="J369" s="251"/>
      <c r="K369" s="265"/>
      <c r="L369" s="265"/>
      <c r="M369" s="265"/>
      <c r="N369" s="265"/>
      <c r="O369" s="265"/>
      <c r="P369" s="265"/>
      <c r="Q369" s="265"/>
      <c r="R369" s="265"/>
      <c r="S369" s="265"/>
      <c r="T369" s="265"/>
      <c r="U369" s="265"/>
      <c r="V369" s="265"/>
      <c r="W369" s="265"/>
      <c r="X369" s="265"/>
      <c r="Y369" s="265"/>
      <c r="Z369" s="265"/>
      <c r="AA369" s="265"/>
      <c r="AB369" s="265"/>
      <c r="AC369" s="265"/>
      <c r="AD369" s="265"/>
      <c r="AE369" s="265"/>
      <c r="AF369" s="265"/>
      <c r="AG369" s="265"/>
      <c r="AH369" s="265"/>
      <c r="AI369" s="265"/>
      <c r="AJ369" s="265"/>
      <c r="AK369" s="265"/>
      <c r="AL369" s="265"/>
      <c r="AM369" s="265"/>
      <c r="AN369" s="265"/>
      <c r="AO369" s="265"/>
      <c r="AP369" s="265"/>
      <c r="AQ369" s="265"/>
      <c r="AR369" s="265"/>
      <c r="AS369" s="265"/>
      <c r="AT369" s="265"/>
      <c r="AU369" s="265"/>
      <c r="AV369" s="265"/>
      <c r="AW369" s="265"/>
      <c r="AX369" s="265"/>
      <c r="AY369" s="265"/>
      <c r="AZ369" s="265"/>
      <c r="BA369" s="265"/>
      <c r="BB369" s="265"/>
      <c r="BC369" s="265"/>
      <c r="BD369" s="265"/>
      <c r="BE369" s="265"/>
      <c r="BF369" s="265"/>
      <c r="BG369" s="265"/>
    </row>
    <row r="370" spans="1:59" s="3" customFormat="1" x14ac:dyDescent="0.2">
      <c r="A370" s="47">
        <v>6171</v>
      </c>
      <c r="B370" s="48">
        <v>5164</v>
      </c>
      <c r="C370" s="46" t="s">
        <v>260</v>
      </c>
      <c r="D370" s="66">
        <v>40</v>
      </c>
      <c r="E370" s="66">
        <v>40</v>
      </c>
      <c r="F370" s="129">
        <v>23812.799999999999</v>
      </c>
      <c r="G370" s="231">
        <v>40</v>
      </c>
      <c r="H370" s="237"/>
      <c r="I370" s="251"/>
      <c r="J370" s="251"/>
      <c r="K370" s="265"/>
      <c r="L370" s="265"/>
      <c r="M370" s="265"/>
      <c r="N370" s="265"/>
      <c r="O370" s="265"/>
      <c r="P370" s="265"/>
      <c r="Q370" s="265"/>
      <c r="R370" s="265"/>
      <c r="S370" s="265"/>
      <c r="T370" s="265"/>
      <c r="U370" s="265"/>
      <c r="V370" s="265"/>
      <c r="W370" s="265"/>
      <c r="X370" s="265"/>
      <c r="Y370" s="265"/>
      <c r="Z370" s="265"/>
      <c r="AA370" s="265"/>
      <c r="AB370" s="265"/>
      <c r="AC370" s="265"/>
      <c r="AD370" s="265"/>
      <c r="AE370" s="265"/>
      <c r="AF370" s="265"/>
      <c r="AG370" s="265"/>
      <c r="AH370" s="265"/>
      <c r="AI370" s="265"/>
      <c r="AJ370" s="265"/>
      <c r="AK370" s="265"/>
      <c r="AL370" s="265"/>
      <c r="AM370" s="265"/>
      <c r="AN370" s="265"/>
      <c r="AO370" s="265"/>
      <c r="AP370" s="265"/>
      <c r="AQ370" s="265"/>
      <c r="AR370" s="265"/>
      <c r="AS370" s="265"/>
      <c r="AT370" s="265"/>
      <c r="AU370" s="265"/>
      <c r="AV370" s="265"/>
      <c r="AW370" s="265"/>
      <c r="AX370" s="265"/>
      <c r="AY370" s="265"/>
      <c r="AZ370" s="265"/>
      <c r="BA370" s="265"/>
      <c r="BB370" s="265"/>
      <c r="BC370" s="265"/>
      <c r="BD370" s="265"/>
      <c r="BE370" s="265"/>
      <c r="BF370" s="265"/>
      <c r="BG370" s="265"/>
    </row>
    <row r="371" spans="1:59" s="3" customFormat="1" x14ac:dyDescent="0.2">
      <c r="A371" s="47">
        <v>6171</v>
      </c>
      <c r="B371" s="48">
        <v>5166</v>
      </c>
      <c r="C371" s="46" t="s">
        <v>23</v>
      </c>
      <c r="D371" s="66">
        <v>975</v>
      </c>
      <c r="E371" s="66">
        <v>975</v>
      </c>
      <c r="F371" s="129">
        <v>732150</v>
      </c>
      <c r="G371" s="231">
        <v>975</v>
      </c>
      <c r="H371" s="237"/>
      <c r="I371" s="251"/>
      <c r="J371" s="251"/>
      <c r="K371" s="265"/>
      <c r="L371" s="265"/>
      <c r="M371" s="265"/>
      <c r="N371" s="265"/>
      <c r="O371" s="265"/>
      <c r="P371" s="265"/>
      <c r="Q371" s="265"/>
      <c r="R371" s="265"/>
      <c r="S371" s="265"/>
      <c r="T371" s="265"/>
      <c r="U371" s="265"/>
      <c r="V371" s="265"/>
      <c r="W371" s="265"/>
      <c r="X371" s="265"/>
      <c r="Y371" s="265"/>
      <c r="Z371" s="265"/>
      <c r="AA371" s="265"/>
      <c r="AB371" s="265"/>
      <c r="AC371" s="265"/>
      <c r="AD371" s="265"/>
      <c r="AE371" s="265"/>
      <c r="AF371" s="265"/>
      <c r="AG371" s="265"/>
      <c r="AH371" s="265"/>
      <c r="AI371" s="265"/>
      <c r="AJ371" s="265"/>
      <c r="AK371" s="265"/>
      <c r="AL371" s="265"/>
      <c r="AM371" s="265"/>
      <c r="AN371" s="265"/>
      <c r="AO371" s="265"/>
      <c r="AP371" s="265"/>
      <c r="AQ371" s="265"/>
      <c r="AR371" s="265"/>
      <c r="AS371" s="265"/>
      <c r="AT371" s="265"/>
      <c r="AU371" s="265"/>
      <c r="AV371" s="265"/>
      <c r="AW371" s="265"/>
      <c r="AX371" s="265"/>
      <c r="AY371" s="265"/>
      <c r="AZ371" s="265"/>
      <c r="BA371" s="265"/>
      <c r="BB371" s="265"/>
      <c r="BC371" s="265"/>
      <c r="BD371" s="265"/>
      <c r="BE371" s="265"/>
      <c r="BF371" s="265"/>
      <c r="BG371" s="265"/>
    </row>
    <row r="372" spans="1:59" s="3" customFormat="1" x14ac:dyDescent="0.2">
      <c r="A372" s="47">
        <v>6171</v>
      </c>
      <c r="B372" s="48">
        <v>5167</v>
      </c>
      <c r="C372" s="46" t="s">
        <v>192</v>
      </c>
      <c r="D372" s="66">
        <v>20</v>
      </c>
      <c r="E372" s="66">
        <v>20</v>
      </c>
      <c r="F372" s="129">
        <v>6088.9</v>
      </c>
      <c r="G372" s="231">
        <v>20</v>
      </c>
      <c r="H372" s="237"/>
      <c r="I372" s="251"/>
      <c r="J372" s="251"/>
      <c r="K372" s="265"/>
      <c r="L372" s="265"/>
      <c r="M372" s="265"/>
      <c r="N372" s="265"/>
      <c r="O372" s="265"/>
      <c r="P372" s="265"/>
      <c r="Q372" s="265"/>
      <c r="R372" s="265"/>
      <c r="S372" s="265"/>
      <c r="T372" s="265"/>
      <c r="U372" s="265"/>
      <c r="V372" s="265"/>
      <c r="W372" s="265"/>
      <c r="X372" s="265"/>
      <c r="Y372" s="265"/>
      <c r="Z372" s="265"/>
      <c r="AA372" s="265"/>
      <c r="AB372" s="265"/>
      <c r="AC372" s="265"/>
      <c r="AD372" s="265"/>
      <c r="AE372" s="265"/>
      <c r="AF372" s="265"/>
      <c r="AG372" s="265"/>
      <c r="AH372" s="265"/>
      <c r="AI372" s="265"/>
      <c r="AJ372" s="265"/>
      <c r="AK372" s="265"/>
      <c r="AL372" s="265"/>
      <c r="AM372" s="265"/>
      <c r="AN372" s="265"/>
      <c r="AO372" s="265"/>
      <c r="AP372" s="265"/>
      <c r="AQ372" s="265"/>
      <c r="AR372" s="265"/>
      <c r="AS372" s="265"/>
      <c r="AT372" s="265"/>
      <c r="AU372" s="265"/>
      <c r="AV372" s="265"/>
      <c r="AW372" s="265"/>
      <c r="AX372" s="265"/>
      <c r="AY372" s="265"/>
      <c r="AZ372" s="265"/>
      <c r="BA372" s="265"/>
      <c r="BB372" s="265"/>
      <c r="BC372" s="265"/>
      <c r="BD372" s="265"/>
      <c r="BE372" s="265"/>
      <c r="BF372" s="265"/>
      <c r="BG372" s="265"/>
    </row>
    <row r="373" spans="1:59" s="3" customFormat="1" ht="30" x14ac:dyDescent="0.2">
      <c r="A373" s="47">
        <v>6171</v>
      </c>
      <c r="B373" s="48">
        <v>5168</v>
      </c>
      <c r="C373" s="46" t="s">
        <v>266</v>
      </c>
      <c r="D373" s="66">
        <f t="shared" ref="D373:E373" si="9">430+200</f>
        <v>630</v>
      </c>
      <c r="E373" s="66">
        <f t="shared" si="9"/>
        <v>630</v>
      </c>
      <c r="F373" s="129">
        <v>463294.87</v>
      </c>
      <c r="G373" s="231">
        <v>630</v>
      </c>
      <c r="H373" s="237"/>
      <c r="I373" s="251"/>
      <c r="J373" s="251"/>
      <c r="K373" s="265"/>
      <c r="L373" s="265"/>
      <c r="M373" s="265"/>
      <c r="N373" s="265"/>
      <c r="O373" s="265"/>
      <c r="P373" s="265"/>
      <c r="Q373" s="265"/>
      <c r="R373" s="265"/>
      <c r="S373" s="265"/>
      <c r="T373" s="265"/>
      <c r="U373" s="265"/>
      <c r="V373" s="265"/>
      <c r="W373" s="265"/>
      <c r="X373" s="265"/>
      <c r="Y373" s="265"/>
      <c r="Z373" s="265"/>
      <c r="AA373" s="265"/>
      <c r="AB373" s="265"/>
      <c r="AC373" s="265"/>
      <c r="AD373" s="265"/>
      <c r="AE373" s="265"/>
      <c r="AF373" s="265"/>
      <c r="AG373" s="265"/>
      <c r="AH373" s="265"/>
      <c r="AI373" s="265"/>
      <c r="AJ373" s="265"/>
      <c r="AK373" s="265"/>
      <c r="AL373" s="265"/>
      <c r="AM373" s="265"/>
      <c r="AN373" s="265"/>
      <c r="AO373" s="265"/>
      <c r="AP373" s="265"/>
      <c r="AQ373" s="265"/>
      <c r="AR373" s="265"/>
      <c r="AS373" s="265"/>
      <c r="AT373" s="265"/>
      <c r="AU373" s="265"/>
      <c r="AV373" s="265"/>
      <c r="AW373" s="265"/>
      <c r="AX373" s="265"/>
      <c r="AY373" s="265"/>
      <c r="AZ373" s="265"/>
      <c r="BA373" s="265"/>
      <c r="BB373" s="265"/>
      <c r="BC373" s="265"/>
      <c r="BD373" s="265"/>
      <c r="BE373" s="265"/>
      <c r="BF373" s="265"/>
      <c r="BG373" s="265"/>
    </row>
    <row r="374" spans="1:59" s="117" customFormat="1" ht="45" x14ac:dyDescent="0.2">
      <c r="A374" s="111">
        <v>6171</v>
      </c>
      <c r="B374" s="112">
        <v>5169</v>
      </c>
      <c r="C374" s="46" t="s">
        <v>267</v>
      </c>
      <c r="D374" s="66">
        <f t="shared" ref="D374:E374" si="10">1290+160</f>
        <v>1450</v>
      </c>
      <c r="E374" s="66">
        <f t="shared" si="10"/>
        <v>1450</v>
      </c>
      <c r="F374" s="225">
        <v>807763.71</v>
      </c>
      <c r="G374" s="231">
        <v>1450</v>
      </c>
      <c r="H374" s="237"/>
      <c r="I374" s="267"/>
      <c r="J374" s="267"/>
      <c r="K374" s="268"/>
      <c r="L374" s="268"/>
      <c r="M374" s="268"/>
      <c r="N374" s="268"/>
      <c r="O374" s="268"/>
      <c r="P374" s="268"/>
      <c r="Q374" s="268"/>
      <c r="R374" s="268"/>
      <c r="S374" s="268"/>
      <c r="T374" s="268"/>
      <c r="U374" s="268"/>
      <c r="V374" s="268"/>
      <c r="W374" s="268"/>
      <c r="X374" s="268"/>
      <c r="Y374" s="268"/>
      <c r="Z374" s="268"/>
      <c r="AA374" s="268"/>
      <c r="AB374" s="268"/>
      <c r="AC374" s="268"/>
      <c r="AD374" s="268"/>
      <c r="AE374" s="268"/>
      <c r="AF374" s="268"/>
      <c r="AG374" s="268"/>
      <c r="AH374" s="268"/>
      <c r="AI374" s="268"/>
      <c r="AJ374" s="268"/>
      <c r="AK374" s="268"/>
      <c r="AL374" s="268"/>
      <c r="AM374" s="268"/>
      <c r="AN374" s="268"/>
      <c r="AO374" s="268"/>
      <c r="AP374" s="268"/>
      <c r="AQ374" s="268"/>
      <c r="AR374" s="268"/>
      <c r="AS374" s="268"/>
      <c r="AT374" s="268"/>
      <c r="AU374" s="268"/>
      <c r="AV374" s="268"/>
      <c r="AW374" s="268"/>
      <c r="AX374" s="268"/>
      <c r="AY374" s="268"/>
      <c r="AZ374" s="268"/>
      <c r="BA374" s="268"/>
      <c r="BB374" s="268"/>
      <c r="BC374" s="268"/>
      <c r="BD374" s="268"/>
      <c r="BE374" s="268"/>
      <c r="BF374" s="268"/>
      <c r="BG374" s="268"/>
    </row>
    <row r="375" spans="1:59" s="3" customFormat="1" x14ac:dyDescent="0.2">
      <c r="A375" s="47">
        <v>6171</v>
      </c>
      <c r="B375" s="48">
        <v>5171</v>
      </c>
      <c r="C375" s="46" t="s">
        <v>391</v>
      </c>
      <c r="D375" s="66">
        <v>330</v>
      </c>
      <c r="E375" s="66">
        <v>330</v>
      </c>
      <c r="F375" s="129">
        <v>69136.05</v>
      </c>
      <c r="G375" s="231">
        <v>500</v>
      </c>
      <c r="H375" s="237"/>
      <c r="I375" s="251"/>
      <c r="J375" s="251"/>
      <c r="K375" s="265"/>
      <c r="L375" s="265"/>
      <c r="M375" s="265"/>
      <c r="N375" s="265"/>
      <c r="O375" s="265"/>
      <c r="P375" s="265"/>
      <c r="Q375" s="265"/>
      <c r="R375" s="265"/>
      <c r="S375" s="265"/>
      <c r="T375" s="265"/>
      <c r="U375" s="265"/>
      <c r="V375" s="265"/>
      <c r="W375" s="265"/>
      <c r="X375" s="265"/>
      <c r="Y375" s="265"/>
      <c r="Z375" s="265"/>
      <c r="AA375" s="265"/>
      <c r="AB375" s="265"/>
      <c r="AC375" s="265"/>
      <c r="AD375" s="265"/>
      <c r="AE375" s="265"/>
      <c r="AF375" s="265"/>
      <c r="AG375" s="265"/>
      <c r="AH375" s="265"/>
      <c r="AI375" s="265"/>
      <c r="AJ375" s="265"/>
      <c r="AK375" s="265"/>
      <c r="AL375" s="265"/>
      <c r="AM375" s="265"/>
      <c r="AN375" s="265"/>
      <c r="AO375" s="265"/>
      <c r="AP375" s="265"/>
      <c r="AQ375" s="265"/>
      <c r="AR375" s="265"/>
      <c r="AS375" s="265"/>
      <c r="AT375" s="265"/>
      <c r="AU375" s="265"/>
      <c r="AV375" s="265"/>
      <c r="AW375" s="265"/>
      <c r="AX375" s="265"/>
      <c r="AY375" s="265"/>
      <c r="AZ375" s="265"/>
      <c r="BA375" s="265"/>
      <c r="BB375" s="265"/>
      <c r="BC375" s="265"/>
      <c r="BD375" s="265"/>
      <c r="BE375" s="265"/>
      <c r="BF375" s="265"/>
      <c r="BG375" s="265"/>
    </row>
    <row r="376" spans="1:59" s="3" customFormat="1" x14ac:dyDescent="0.2">
      <c r="A376" s="47">
        <v>6171</v>
      </c>
      <c r="B376" s="48">
        <v>5172</v>
      </c>
      <c r="C376" s="46" t="s">
        <v>169</v>
      </c>
      <c r="D376" s="66">
        <v>20</v>
      </c>
      <c r="E376" s="66">
        <v>20</v>
      </c>
      <c r="F376" s="129">
        <v>3715</v>
      </c>
      <c r="G376" s="231">
        <v>20</v>
      </c>
      <c r="H376" s="237"/>
      <c r="I376" s="251"/>
      <c r="J376" s="251"/>
      <c r="K376" s="265"/>
      <c r="L376" s="265"/>
      <c r="M376" s="265"/>
      <c r="N376" s="265"/>
      <c r="O376" s="265"/>
      <c r="P376" s="265"/>
      <c r="Q376" s="265"/>
      <c r="R376" s="265"/>
      <c r="S376" s="265"/>
      <c r="T376" s="265"/>
      <c r="U376" s="265"/>
      <c r="V376" s="265"/>
      <c r="W376" s="265"/>
      <c r="X376" s="265"/>
      <c r="Y376" s="265"/>
      <c r="Z376" s="265"/>
      <c r="AA376" s="265"/>
      <c r="AB376" s="265"/>
      <c r="AC376" s="265"/>
      <c r="AD376" s="265"/>
      <c r="AE376" s="265"/>
      <c r="AF376" s="265"/>
      <c r="AG376" s="265"/>
      <c r="AH376" s="265"/>
      <c r="AI376" s="265"/>
      <c r="AJ376" s="265"/>
      <c r="AK376" s="265"/>
      <c r="AL376" s="265"/>
      <c r="AM376" s="265"/>
      <c r="AN376" s="265"/>
      <c r="AO376" s="265"/>
      <c r="AP376" s="265"/>
      <c r="AQ376" s="265"/>
      <c r="AR376" s="265"/>
      <c r="AS376" s="265"/>
      <c r="AT376" s="265"/>
      <c r="AU376" s="265"/>
      <c r="AV376" s="265"/>
      <c r="AW376" s="265"/>
      <c r="AX376" s="265"/>
      <c r="AY376" s="265"/>
      <c r="AZ376" s="265"/>
      <c r="BA376" s="265"/>
      <c r="BB376" s="265"/>
      <c r="BC376" s="265"/>
      <c r="BD376" s="265"/>
      <c r="BE376" s="265"/>
      <c r="BF376" s="265"/>
      <c r="BG376" s="265"/>
    </row>
    <row r="377" spans="1:59" s="3" customFormat="1" x14ac:dyDescent="0.2">
      <c r="A377" s="47">
        <v>6171</v>
      </c>
      <c r="B377" s="48">
        <v>5173</v>
      </c>
      <c r="C377" s="46" t="s">
        <v>22</v>
      </c>
      <c r="D377" s="66">
        <v>6</v>
      </c>
      <c r="E377" s="66">
        <v>6</v>
      </c>
      <c r="F377" s="129">
        <v>124</v>
      </c>
      <c r="G377" s="231">
        <v>6</v>
      </c>
      <c r="H377" s="237"/>
      <c r="I377" s="251"/>
      <c r="J377" s="251"/>
      <c r="K377" s="265"/>
      <c r="L377" s="265"/>
      <c r="M377" s="265"/>
      <c r="N377" s="265"/>
      <c r="O377" s="265"/>
      <c r="P377" s="265"/>
      <c r="Q377" s="265"/>
      <c r="R377" s="265"/>
      <c r="S377" s="265"/>
      <c r="T377" s="265"/>
      <c r="U377" s="265"/>
      <c r="V377" s="265"/>
      <c r="W377" s="265"/>
      <c r="X377" s="265"/>
      <c r="Y377" s="265"/>
      <c r="Z377" s="265"/>
      <c r="AA377" s="265"/>
      <c r="AB377" s="265"/>
      <c r="AC377" s="265"/>
      <c r="AD377" s="265"/>
      <c r="AE377" s="265"/>
      <c r="AF377" s="265"/>
      <c r="AG377" s="265"/>
      <c r="AH377" s="265"/>
      <c r="AI377" s="265"/>
      <c r="AJ377" s="265"/>
      <c r="AK377" s="265"/>
      <c r="AL377" s="265"/>
      <c r="AM377" s="265"/>
      <c r="AN377" s="265"/>
      <c r="AO377" s="265"/>
      <c r="AP377" s="265"/>
      <c r="AQ377" s="265"/>
      <c r="AR377" s="265"/>
      <c r="AS377" s="265"/>
      <c r="AT377" s="265"/>
      <c r="AU377" s="265"/>
      <c r="AV377" s="265"/>
      <c r="AW377" s="265"/>
      <c r="AX377" s="265"/>
      <c r="AY377" s="265"/>
      <c r="AZ377" s="265"/>
      <c r="BA377" s="265"/>
      <c r="BB377" s="265"/>
      <c r="BC377" s="265"/>
      <c r="BD377" s="265"/>
      <c r="BE377" s="265"/>
      <c r="BF377" s="265"/>
      <c r="BG377" s="265"/>
    </row>
    <row r="378" spans="1:59" s="3" customFormat="1" x14ac:dyDescent="0.2">
      <c r="A378" s="47">
        <v>6171</v>
      </c>
      <c r="B378" s="48">
        <v>5175</v>
      </c>
      <c r="C378" s="46" t="s">
        <v>13</v>
      </c>
      <c r="D378" s="66">
        <v>12</v>
      </c>
      <c r="E378" s="66">
        <v>12</v>
      </c>
      <c r="F378" s="129">
        <v>3717</v>
      </c>
      <c r="G378" s="231">
        <v>12</v>
      </c>
      <c r="H378" s="237"/>
      <c r="I378" s="251"/>
      <c r="J378" s="251"/>
      <c r="K378" s="265"/>
      <c r="L378" s="265"/>
      <c r="M378" s="265"/>
      <c r="N378" s="265"/>
      <c r="O378" s="265"/>
      <c r="P378" s="265"/>
      <c r="Q378" s="265"/>
      <c r="R378" s="265"/>
      <c r="S378" s="265"/>
      <c r="T378" s="265"/>
      <c r="U378" s="265"/>
      <c r="V378" s="265"/>
      <c r="W378" s="265"/>
      <c r="X378" s="265"/>
      <c r="Y378" s="265"/>
      <c r="Z378" s="265"/>
      <c r="AA378" s="265"/>
      <c r="AB378" s="265"/>
      <c r="AC378" s="265"/>
      <c r="AD378" s="265"/>
      <c r="AE378" s="265"/>
      <c r="AF378" s="265"/>
      <c r="AG378" s="265"/>
      <c r="AH378" s="265"/>
      <c r="AI378" s="265"/>
      <c r="AJ378" s="265"/>
      <c r="AK378" s="265"/>
      <c r="AL378" s="265"/>
      <c r="AM378" s="265"/>
      <c r="AN378" s="265"/>
      <c r="AO378" s="265"/>
      <c r="AP378" s="265"/>
      <c r="AQ378" s="265"/>
      <c r="AR378" s="265"/>
      <c r="AS378" s="265"/>
      <c r="AT378" s="265"/>
      <c r="AU378" s="265"/>
      <c r="AV378" s="265"/>
      <c r="AW378" s="265"/>
      <c r="AX378" s="265"/>
      <c r="AY378" s="265"/>
      <c r="AZ378" s="265"/>
      <c r="BA378" s="265"/>
      <c r="BB378" s="265"/>
      <c r="BC378" s="265"/>
      <c r="BD378" s="265"/>
      <c r="BE378" s="265"/>
      <c r="BF378" s="265"/>
      <c r="BG378" s="265"/>
    </row>
    <row r="379" spans="1:59" s="3" customFormat="1" x14ac:dyDescent="0.2">
      <c r="A379" s="47">
        <v>6171</v>
      </c>
      <c r="B379" s="48">
        <v>5179</v>
      </c>
      <c r="C379" s="46" t="s">
        <v>301</v>
      </c>
      <c r="D379" s="66">
        <v>0</v>
      </c>
      <c r="E379" s="66">
        <v>0</v>
      </c>
      <c r="F379" s="129">
        <v>2500</v>
      </c>
      <c r="G379" s="231">
        <v>2.5</v>
      </c>
      <c r="H379" s="237"/>
      <c r="I379" s="251"/>
      <c r="J379" s="251"/>
      <c r="K379" s="265"/>
      <c r="L379" s="265"/>
      <c r="M379" s="265"/>
      <c r="N379" s="265"/>
      <c r="O379" s="265"/>
      <c r="P379" s="265"/>
      <c r="Q379" s="265"/>
      <c r="R379" s="265"/>
      <c r="S379" s="265"/>
      <c r="T379" s="265"/>
      <c r="U379" s="265"/>
      <c r="V379" s="265"/>
      <c r="W379" s="265"/>
      <c r="X379" s="265"/>
      <c r="Y379" s="265"/>
      <c r="Z379" s="265"/>
      <c r="AA379" s="265"/>
      <c r="AB379" s="265"/>
      <c r="AC379" s="265"/>
      <c r="AD379" s="265"/>
      <c r="AE379" s="265"/>
      <c r="AF379" s="265"/>
      <c r="AG379" s="265"/>
      <c r="AH379" s="265"/>
      <c r="AI379" s="265"/>
      <c r="AJ379" s="265"/>
      <c r="AK379" s="265"/>
      <c r="AL379" s="265"/>
      <c r="AM379" s="265"/>
      <c r="AN379" s="265"/>
      <c r="AO379" s="265"/>
      <c r="AP379" s="265"/>
      <c r="AQ379" s="265"/>
      <c r="AR379" s="265"/>
      <c r="AS379" s="265"/>
      <c r="AT379" s="265"/>
      <c r="AU379" s="265"/>
      <c r="AV379" s="265"/>
      <c r="AW379" s="265"/>
      <c r="AX379" s="265"/>
      <c r="AY379" s="265"/>
      <c r="AZ379" s="265"/>
      <c r="BA379" s="265"/>
      <c r="BB379" s="265"/>
      <c r="BC379" s="265"/>
      <c r="BD379" s="265"/>
      <c r="BE379" s="265"/>
      <c r="BF379" s="265"/>
      <c r="BG379" s="265"/>
    </row>
    <row r="380" spans="1:59" s="3" customFormat="1" x14ac:dyDescent="0.2">
      <c r="A380" s="47">
        <v>6171</v>
      </c>
      <c r="B380" s="48">
        <v>5182</v>
      </c>
      <c r="C380" s="46" t="s">
        <v>287</v>
      </c>
      <c r="D380" s="66">
        <v>0</v>
      </c>
      <c r="E380" s="66">
        <v>0</v>
      </c>
      <c r="F380" s="129">
        <v>3945</v>
      </c>
      <c r="G380" s="231">
        <v>0</v>
      </c>
      <c r="H380" s="237"/>
      <c r="I380" s="251"/>
      <c r="J380" s="251"/>
      <c r="K380" s="265"/>
      <c r="L380" s="265"/>
      <c r="M380" s="265"/>
      <c r="N380" s="265"/>
      <c r="O380" s="265"/>
      <c r="P380" s="265"/>
      <c r="Q380" s="265"/>
      <c r="R380" s="265"/>
      <c r="S380" s="265"/>
      <c r="T380" s="265"/>
      <c r="U380" s="265"/>
      <c r="V380" s="265"/>
      <c r="W380" s="265"/>
      <c r="X380" s="265"/>
      <c r="Y380" s="265"/>
      <c r="Z380" s="265"/>
      <c r="AA380" s="265"/>
      <c r="AB380" s="265"/>
      <c r="AC380" s="265"/>
      <c r="AD380" s="265"/>
      <c r="AE380" s="265"/>
      <c r="AF380" s="265"/>
      <c r="AG380" s="265"/>
      <c r="AH380" s="265"/>
      <c r="AI380" s="265"/>
      <c r="AJ380" s="265"/>
      <c r="AK380" s="265"/>
      <c r="AL380" s="265"/>
      <c r="AM380" s="265"/>
      <c r="AN380" s="265"/>
      <c r="AO380" s="265"/>
      <c r="AP380" s="265"/>
      <c r="AQ380" s="265"/>
      <c r="AR380" s="265"/>
      <c r="AS380" s="265"/>
      <c r="AT380" s="265"/>
      <c r="AU380" s="265"/>
      <c r="AV380" s="265"/>
      <c r="AW380" s="265"/>
      <c r="AX380" s="265"/>
      <c r="AY380" s="265"/>
      <c r="AZ380" s="265"/>
      <c r="BA380" s="265"/>
      <c r="BB380" s="265"/>
      <c r="BC380" s="265"/>
      <c r="BD380" s="265"/>
      <c r="BE380" s="265"/>
      <c r="BF380" s="265"/>
      <c r="BG380" s="265"/>
    </row>
    <row r="381" spans="1:59" s="244" customFormat="1" ht="30.75" customHeight="1" x14ac:dyDescent="0.2">
      <c r="A381" s="47">
        <v>6171</v>
      </c>
      <c r="B381" s="48">
        <v>5192</v>
      </c>
      <c r="C381" s="46" t="s">
        <v>395</v>
      </c>
      <c r="D381" s="246">
        <f t="shared" ref="D381:E381" si="11">2.5+5.5</f>
        <v>8</v>
      </c>
      <c r="E381" s="246">
        <f t="shared" si="11"/>
        <v>8</v>
      </c>
      <c r="F381" s="247">
        <v>20386</v>
      </c>
      <c r="G381" s="248">
        <v>40</v>
      </c>
      <c r="H381" s="249"/>
      <c r="I381" s="269"/>
      <c r="J381" s="269"/>
      <c r="K381" s="270"/>
      <c r="L381" s="270"/>
      <c r="M381" s="270"/>
      <c r="N381" s="270"/>
      <c r="O381" s="270"/>
      <c r="P381" s="270"/>
      <c r="Q381" s="270"/>
      <c r="R381" s="270"/>
      <c r="S381" s="270"/>
      <c r="T381" s="270"/>
      <c r="U381" s="270"/>
      <c r="V381" s="270"/>
      <c r="W381" s="270"/>
      <c r="X381" s="270"/>
      <c r="Y381" s="270"/>
      <c r="Z381" s="270"/>
      <c r="AA381" s="270"/>
      <c r="AB381" s="270"/>
      <c r="AC381" s="270"/>
      <c r="AD381" s="270"/>
      <c r="AE381" s="270"/>
      <c r="AF381" s="270"/>
      <c r="AG381" s="270"/>
      <c r="AH381" s="270"/>
      <c r="AI381" s="270"/>
      <c r="AJ381" s="270"/>
      <c r="AK381" s="270"/>
      <c r="AL381" s="270"/>
      <c r="AM381" s="270"/>
      <c r="AN381" s="270"/>
      <c r="AO381" s="270"/>
      <c r="AP381" s="270"/>
      <c r="AQ381" s="270"/>
      <c r="AR381" s="270"/>
      <c r="AS381" s="270"/>
      <c r="AT381" s="270"/>
      <c r="AU381" s="270"/>
      <c r="AV381" s="270"/>
      <c r="AW381" s="270"/>
      <c r="AX381" s="270"/>
      <c r="AY381" s="270"/>
      <c r="AZ381" s="270"/>
      <c r="BA381" s="270"/>
      <c r="BB381" s="270"/>
      <c r="BC381" s="270"/>
      <c r="BD381" s="270"/>
      <c r="BE381" s="270"/>
      <c r="BF381" s="270"/>
      <c r="BG381" s="270"/>
    </row>
    <row r="382" spans="1:59" ht="30" x14ac:dyDescent="0.2">
      <c r="A382" s="47">
        <v>6171</v>
      </c>
      <c r="B382" s="48">
        <v>5362</v>
      </c>
      <c r="C382" s="46" t="s">
        <v>394</v>
      </c>
      <c r="D382" s="66">
        <v>10</v>
      </c>
      <c r="E382" s="66">
        <v>10</v>
      </c>
      <c r="F382" s="129">
        <v>1000</v>
      </c>
      <c r="G382" s="231">
        <v>10</v>
      </c>
      <c r="H382" s="237"/>
    </row>
    <row r="383" spans="1:59" ht="30" x14ac:dyDescent="0.2">
      <c r="A383" s="47">
        <v>6171</v>
      </c>
      <c r="B383" s="48">
        <v>5365</v>
      </c>
      <c r="C383" s="46" t="s">
        <v>193</v>
      </c>
      <c r="D383" s="66">
        <v>10</v>
      </c>
      <c r="E383" s="66">
        <v>10</v>
      </c>
      <c r="F383" s="129">
        <v>2000</v>
      </c>
      <c r="G383" s="231">
        <v>10</v>
      </c>
      <c r="H383" s="237"/>
    </row>
    <row r="384" spans="1:59" x14ac:dyDescent="0.2">
      <c r="A384" s="47">
        <v>6171</v>
      </c>
      <c r="B384" s="48">
        <v>5365</v>
      </c>
      <c r="C384" s="46" t="s">
        <v>273</v>
      </c>
      <c r="D384" s="66">
        <v>0</v>
      </c>
      <c r="E384" s="66">
        <v>1767.7</v>
      </c>
      <c r="F384" s="129">
        <v>1767698.09</v>
      </c>
      <c r="G384" s="231">
        <v>0</v>
      </c>
      <c r="H384" s="237"/>
    </row>
    <row r="385" spans="1:59" s="3" customFormat="1" x14ac:dyDescent="0.2">
      <c r="A385" s="47">
        <v>6171</v>
      </c>
      <c r="B385" s="48">
        <v>5492</v>
      </c>
      <c r="C385" s="46" t="s">
        <v>180</v>
      </c>
      <c r="D385" s="66">
        <v>20</v>
      </c>
      <c r="E385" s="66">
        <v>20</v>
      </c>
      <c r="F385" s="129">
        <v>10000</v>
      </c>
      <c r="G385" s="231">
        <v>20</v>
      </c>
      <c r="H385" s="237"/>
      <c r="I385" s="251"/>
      <c r="J385" s="251"/>
      <c r="K385" s="265"/>
      <c r="L385" s="265"/>
      <c r="M385" s="265"/>
      <c r="N385" s="265"/>
      <c r="O385" s="265"/>
      <c r="P385" s="265"/>
      <c r="Q385" s="265"/>
      <c r="R385" s="265"/>
      <c r="S385" s="265"/>
      <c r="T385" s="265"/>
      <c r="U385" s="265"/>
      <c r="V385" s="265"/>
      <c r="W385" s="265"/>
      <c r="X385" s="265"/>
      <c r="Y385" s="265"/>
      <c r="Z385" s="265"/>
      <c r="AA385" s="265"/>
      <c r="AB385" s="265"/>
      <c r="AC385" s="265"/>
      <c r="AD385" s="265"/>
      <c r="AE385" s="265"/>
      <c r="AF385" s="265"/>
      <c r="AG385" s="265"/>
      <c r="AH385" s="265"/>
      <c r="AI385" s="265"/>
      <c r="AJ385" s="265"/>
      <c r="AK385" s="265"/>
      <c r="AL385" s="265"/>
      <c r="AM385" s="265"/>
      <c r="AN385" s="265"/>
      <c r="AO385" s="265"/>
      <c r="AP385" s="265"/>
      <c r="AQ385" s="265"/>
      <c r="AR385" s="265"/>
      <c r="AS385" s="265"/>
      <c r="AT385" s="265"/>
      <c r="AU385" s="265"/>
      <c r="AV385" s="265"/>
      <c r="AW385" s="265"/>
      <c r="AX385" s="265"/>
      <c r="AY385" s="265"/>
      <c r="AZ385" s="265"/>
      <c r="BA385" s="265"/>
      <c r="BB385" s="265"/>
      <c r="BC385" s="265"/>
      <c r="BD385" s="265"/>
      <c r="BE385" s="265"/>
      <c r="BF385" s="265"/>
      <c r="BG385" s="265"/>
    </row>
    <row r="386" spans="1:59" s="3" customFormat="1" x14ac:dyDescent="0.2">
      <c r="A386" s="47">
        <v>6171</v>
      </c>
      <c r="B386" s="48">
        <v>5499</v>
      </c>
      <c r="C386" s="46" t="s">
        <v>228</v>
      </c>
      <c r="D386" s="66">
        <f t="shared" ref="D386:E386" si="12">235-12</f>
        <v>223</v>
      </c>
      <c r="E386" s="66">
        <f t="shared" si="12"/>
        <v>223</v>
      </c>
      <c r="F386" s="129">
        <v>195525</v>
      </c>
      <c r="G386" s="231">
        <v>228</v>
      </c>
      <c r="H386" s="237"/>
      <c r="I386" s="251"/>
      <c r="J386" s="251"/>
      <c r="K386" s="265"/>
      <c r="L386" s="265"/>
      <c r="M386" s="265"/>
      <c r="N386" s="265"/>
      <c r="O386" s="265"/>
      <c r="P386" s="265"/>
      <c r="Q386" s="265"/>
      <c r="R386" s="265"/>
      <c r="S386" s="265"/>
      <c r="T386" s="265"/>
      <c r="U386" s="265"/>
      <c r="V386" s="265"/>
      <c r="W386" s="265"/>
      <c r="X386" s="265"/>
      <c r="Y386" s="265"/>
      <c r="Z386" s="265"/>
      <c r="AA386" s="265"/>
      <c r="AB386" s="265"/>
      <c r="AC386" s="265"/>
      <c r="AD386" s="265"/>
      <c r="AE386" s="265"/>
      <c r="AF386" s="265"/>
      <c r="AG386" s="265"/>
      <c r="AH386" s="265"/>
      <c r="AI386" s="265"/>
      <c r="AJ386" s="265"/>
      <c r="AK386" s="265"/>
      <c r="AL386" s="265"/>
      <c r="AM386" s="265"/>
      <c r="AN386" s="265"/>
      <c r="AO386" s="265"/>
      <c r="AP386" s="265"/>
      <c r="AQ386" s="265"/>
      <c r="AR386" s="265"/>
      <c r="AS386" s="265"/>
      <c r="AT386" s="265"/>
      <c r="AU386" s="265"/>
      <c r="AV386" s="265"/>
      <c r="AW386" s="265"/>
      <c r="AX386" s="265"/>
      <c r="AY386" s="265"/>
      <c r="AZ386" s="265"/>
      <c r="BA386" s="265"/>
      <c r="BB386" s="265"/>
      <c r="BC386" s="265"/>
      <c r="BD386" s="265"/>
      <c r="BE386" s="265"/>
      <c r="BF386" s="265"/>
      <c r="BG386" s="265"/>
    </row>
    <row r="387" spans="1:59" s="3" customFormat="1" x14ac:dyDescent="0.2">
      <c r="A387" s="47">
        <v>6171</v>
      </c>
      <c r="B387" s="48">
        <v>5499</v>
      </c>
      <c r="C387" s="46" t="s">
        <v>170</v>
      </c>
      <c r="D387" s="66">
        <f t="shared" ref="D387:E387" si="13">430+12</f>
        <v>442</v>
      </c>
      <c r="E387" s="66">
        <f t="shared" si="13"/>
        <v>442</v>
      </c>
      <c r="F387" s="129">
        <v>365675</v>
      </c>
      <c r="G387" s="231">
        <f>490-34</f>
        <v>456</v>
      </c>
      <c r="H387" s="237"/>
      <c r="I387" s="251"/>
      <c r="J387" s="251"/>
      <c r="K387" s="265"/>
      <c r="L387" s="265"/>
      <c r="M387" s="265"/>
      <c r="N387" s="265"/>
      <c r="O387" s="265"/>
      <c r="P387" s="265"/>
      <c r="Q387" s="265"/>
      <c r="R387" s="265"/>
      <c r="S387" s="265"/>
      <c r="T387" s="265"/>
      <c r="U387" s="265"/>
      <c r="V387" s="265"/>
      <c r="W387" s="265"/>
      <c r="X387" s="265"/>
      <c r="Y387" s="265"/>
      <c r="Z387" s="265"/>
      <c r="AA387" s="265"/>
      <c r="AB387" s="265"/>
      <c r="AC387" s="265"/>
      <c r="AD387" s="265"/>
      <c r="AE387" s="265"/>
      <c r="AF387" s="265"/>
      <c r="AG387" s="265"/>
      <c r="AH387" s="265"/>
      <c r="AI387" s="265"/>
      <c r="AJ387" s="265"/>
      <c r="AK387" s="265"/>
      <c r="AL387" s="265"/>
      <c r="AM387" s="265"/>
      <c r="AN387" s="265"/>
      <c r="AO387" s="265"/>
      <c r="AP387" s="265"/>
      <c r="AQ387" s="265"/>
      <c r="AR387" s="265"/>
      <c r="AS387" s="265"/>
      <c r="AT387" s="265"/>
      <c r="AU387" s="265"/>
      <c r="AV387" s="265"/>
      <c r="AW387" s="265"/>
      <c r="AX387" s="265"/>
      <c r="AY387" s="265"/>
      <c r="AZ387" s="265"/>
      <c r="BA387" s="265"/>
      <c r="BB387" s="265"/>
      <c r="BC387" s="265"/>
      <c r="BD387" s="265"/>
      <c r="BE387" s="265"/>
      <c r="BF387" s="265"/>
      <c r="BG387" s="265"/>
    </row>
    <row r="388" spans="1:59" s="3" customFormat="1" x14ac:dyDescent="0.2">
      <c r="A388" s="47">
        <v>6171</v>
      </c>
      <c r="B388" s="48">
        <v>6121</v>
      </c>
      <c r="C388" s="88" t="s">
        <v>392</v>
      </c>
      <c r="D388" s="103">
        <v>500</v>
      </c>
      <c r="E388" s="103">
        <v>500</v>
      </c>
      <c r="F388" s="134">
        <v>0</v>
      </c>
      <c r="G388" s="230">
        <v>500</v>
      </c>
      <c r="H388" s="237"/>
      <c r="I388" s="251"/>
      <c r="J388" s="251"/>
      <c r="K388" s="265"/>
      <c r="L388" s="265"/>
      <c r="M388" s="265"/>
      <c r="N388" s="265"/>
      <c r="O388" s="265"/>
      <c r="P388" s="265"/>
      <c r="Q388" s="265"/>
      <c r="R388" s="265"/>
      <c r="S388" s="265"/>
      <c r="T388" s="265"/>
      <c r="U388" s="265"/>
      <c r="V388" s="265"/>
      <c r="W388" s="265"/>
      <c r="X388" s="265"/>
      <c r="Y388" s="265"/>
      <c r="Z388" s="265"/>
      <c r="AA388" s="265"/>
      <c r="AB388" s="265"/>
      <c r="AC388" s="265"/>
      <c r="AD388" s="265"/>
      <c r="AE388" s="265"/>
      <c r="AF388" s="265"/>
      <c r="AG388" s="265"/>
      <c r="AH388" s="265"/>
      <c r="AI388" s="265"/>
      <c r="AJ388" s="265"/>
      <c r="AK388" s="265"/>
      <c r="AL388" s="265"/>
      <c r="AM388" s="265"/>
      <c r="AN388" s="265"/>
      <c r="AO388" s="265"/>
      <c r="AP388" s="265"/>
      <c r="AQ388" s="265"/>
      <c r="AR388" s="265"/>
      <c r="AS388" s="265"/>
      <c r="AT388" s="265"/>
      <c r="AU388" s="265"/>
      <c r="AV388" s="265"/>
      <c r="AW388" s="265"/>
      <c r="AX388" s="265"/>
      <c r="AY388" s="265"/>
      <c r="AZ388" s="265"/>
      <c r="BA388" s="265"/>
      <c r="BB388" s="265"/>
      <c r="BC388" s="265"/>
      <c r="BD388" s="265"/>
      <c r="BE388" s="265"/>
      <c r="BF388" s="265"/>
      <c r="BG388" s="265"/>
    </row>
    <row r="389" spans="1:59" s="3" customFormat="1" x14ac:dyDescent="0.2">
      <c r="A389" s="47">
        <v>6171</v>
      </c>
      <c r="B389" s="48">
        <v>6123</v>
      </c>
      <c r="C389" s="88" t="s">
        <v>259</v>
      </c>
      <c r="D389" s="103">
        <v>259</v>
      </c>
      <c r="E389" s="103">
        <v>259</v>
      </c>
      <c r="F389" s="134">
        <v>259000</v>
      </c>
      <c r="G389" s="231">
        <v>0</v>
      </c>
      <c r="H389" s="237"/>
      <c r="I389" s="251"/>
      <c r="J389" s="251"/>
      <c r="K389" s="265"/>
      <c r="L389" s="265"/>
      <c r="M389" s="265"/>
      <c r="N389" s="265"/>
      <c r="O389" s="265"/>
      <c r="P389" s="265"/>
      <c r="Q389" s="265"/>
      <c r="R389" s="265"/>
      <c r="S389" s="265"/>
      <c r="T389" s="265"/>
      <c r="U389" s="265"/>
      <c r="V389" s="265"/>
      <c r="W389" s="265"/>
      <c r="X389" s="265"/>
      <c r="Y389" s="265"/>
      <c r="Z389" s="265"/>
      <c r="AA389" s="265"/>
      <c r="AB389" s="265"/>
      <c r="AC389" s="265"/>
      <c r="AD389" s="265"/>
      <c r="AE389" s="265"/>
      <c r="AF389" s="265"/>
      <c r="AG389" s="265"/>
      <c r="AH389" s="265"/>
      <c r="AI389" s="265"/>
      <c r="AJ389" s="265"/>
      <c r="AK389" s="265"/>
      <c r="AL389" s="265"/>
      <c r="AM389" s="265"/>
      <c r="AN389" s="265"/>
      <c r="AO389" s="265"/>
      <c r="AP389" s="265"/>
      <c r="AQ389" s="265"/>
      <c r="AR389" s="265"/>
      <c r="AS389" s="265"/>
      <c r="AT389" s="265"/>
      <c r="AU389" s="265"/>
      <c r="AV389" s="265"/>
      <c r="AW389" s="265"/>
      <c r="AX389" s="265"/>
      <c r="AY389" s="265"/>
      <c r="AZ389" s="265"/>
      <c r="BA389" s="265"/>
      <c r="BB389" s="265"/>
      <c r="BC389" s="265"/>
      <c r="BD389" s="265"/>
      <c r="BE389" s="265"/>
      <c r="BF389" s="265"/>
      <c r="BG389" s="265"/>
    </row>
    <row r="390" spans="1:59" ht="15.75" x14ac:dyDescent="0.25">
      <c r="A390" s="24">
        <v>6171</v>
      </c>
      <c r="B390" s="25"/>
      <c r="C390" s="57" t="s">
        <v>24</v>
      </c>
      <c r="D390" s="63">
        <f>SUM(D354:D389)</f>
        <v>16789</v>
      </c>
      <c r="E390" s="63">
        <f>SUM(E354:E389)</f>
        <v>18556.7</v>
      </c>
      <c r="F390" s="133">
        <f>SUM(F354:F389)</f>
        <v>13901166.09</v>
      </c>
      <c r="G390" s="233">
        <f>SUM(G354:G389)</f>
        <v>17533</v>
      </c>
      <c r="H390" s="239">
        <f>G390</f>
        <v>17533</v>
      </c>
    </row>
    <row r="391" spans="1:59" x14ac:dyDescent="0.2">
      <c r="A391" s="8"/>
      <c r="B391" s="10"/>
      <c r="C391" s="58"/>
      <c r="D391" s="66"/>
      <c r="E391" s="66"/>
      <c r="F391" s="129"/>
      <c r="G391" s="231"/>
      <c r="H391" s="237"/>
    </row>
    <row r="392" spans="1:59" s="6" customFormat="1" x14ac:dyDescent="0.2">
      <c r="A392" s="8">
        <v>6310</v>
      </c>
      <c r="B392" s="10">
        <v>5163</v>
      </c>
      <c r="C392" s="58" t="s">
        <v>112</v>
      </c>
      <c r="D392" s="66">
        <v>20</v>
      </c>
      <c r="E392" s="66">
        <v>20</v>
      </c>
      <c r="F392" s="129">
        <v>12781.99</v>
      </c>
      <c r="G392" s="231">
        <v>24</v>
      </c>
      <c r="H392" s="237"/>
      <c r="I392" s="251"/>
      <c r="J392" s="251"/>
      <c r="K392" s="264"/>
      <c r="L392" s="264"/>
      <c r="M392" s="264"/>
      <c r="N392" s="264"/>
      <c r="O392" s="264"/>
      <c r="P392" s="264"/>
      <c r="Q392" s="264"/>
      <c r="R392" s="264"/>
      <c r="S392" s="264"/>
      <c r="T392" s="264"/>
      <c r="U392" s="264"/>
      <c r="V392" s="264"/>
      <c r="W392" s="264"/>
      <c r="X392" s="264"/>
      <c r="Y392" s="264"/>
      <c r="Z392" s="264"/>
      <c r="AA392" s="264"/>
      <c r="AB392" s="264"/>
      <c r="AC392" s="264"/>
      <c r="AD392" s="264"/>
      <c r="AE392" s="264"/>
      <c r="AF392" s="264"/>
      <c r="AG392" s="264"/>
      <c r="AH392" s="264"/>
      <c r="AI392" s="264"/>
      <c r="AJ392" s="264"/>
      <c r="AK392" s="264"/>
      <c r="AL392" s="264"/>
      <c r="AM392" s="264"/>
      <c r="AN392" s="264"/>
      <c r="AO392" s="264"/>
      <c r="AP392" s="264"/>
      <c r="AQ392" s="264"/>
      <c r="AR392" s="264"/>
      <c r="AS392" s="264"/>
      <c r="AT392" s="264"/>
      <c r="AU392" s="264"/>
      <c r="AV392" s="264"/>
      <c r="AW392" s="264"/>
      <c r="AX392" s="264"/>
      <c r="AY392" s="264"/>
      <c r="AZ392" s="264"/>
      <c r="BA392" s="264"/>
      <c r="BB392" s="264"/>
      <c r="BC392" s="264"/>
      <c r="BD392" s="264"/>
      <c r="BE392" s="264"/>
      <c r="BF392" s="264"/>
      <c r="BG392" s="264"/>
    </row>
    <row r="393" spans="1:59" s="2" customFormat="1" ht="15.75" x14ac:dyDescent="0.25">
      <c r="A393" s="24">
        <v>6310</v>
      </c>
      <c r="B393" s="25"/>
      <c r="C393" s="57" t="s">
        <v>49</v>
      </c>
      <c r="D393" s="67">
        <f>SUM(D392)</f>
        <v>20</v>
      </c>
      <c r="E393" s="67">
        <f>SUM(E392)</f>
        <v>20</v>
      </c>
      <c r="F393" s="133">
        <f>SUM(F392)</f>
        <v>12781.99</v>
      </c>
      <c r="G393" s="233">
        <f>SUM(G392)</f>
        <v>24</v>
      </c>
      <c r="H393" s="239">
        <f>G393</f>
        <v>24</v>
      </c>
      <c r="I393" s="258"/>
      <c r="J393" s="258"/>
      <c r="K393" s="259"/>
      <c r="L393" s="259"/>
      <c r="M393" s="259"/>
      <c r="N393" s="259"/>
      <c r="O393" s="259"/>
      <c r="P393" s="259"/>
      <c r="Q393" s="259"/>
      <c r="R393" s="259"/>
      <c r="S393" s="259"/>
      <c r="T393" s="259"/>
      <c r="U393" s="259"/>
      <c r="V393" s="259"/>
      <c r="W393" s="259"/>
      <c r="X393" s="259"/>
      <c r="Y393" s="259"/>
      <c r="Z393" s="259"/>
      <c r="AA393" s="259"/>
      <c r="AB393" s="259"/>
      <c r="AC393" s="259"/>
      <c r="AD393" s="259"/>
      <c r="AE393" s="259"/>
      <c r="AF393" s="259"/>
      <c r="AG393" s="259"/>
      <c r="AH393" s="259"/>
      <c r="AI393" s="259"/>
      <c r="AJ393" s="259"/>
      <c r="AK393" s="259"/>
      <c r="AL393" s="259"/>
      <c r="AM393" s="259"/>
      <c r="AN393" s="259"/>
      <c r="AO393" s="259"/>
      <c r="AP393" s="259"/>
      <c r="AQ393" s="259"/>
      <c r="AR393" s="259"/>
      <c r="AS393" s="259"/>
      <c r="AT393" s="259"/>
      <c r="AU393" s="259"/>
      <c r="AV393" s="259"/>
      <c r="AW393" s="259"/>
      <c r="AX393" s="259"/>
      <c r="AY393" s="259"/>
      <c r="AZ393" s="259"/>
      <c r="BA393" s="259"/>
      <c r="BB393" s="259"/>
      <c r="BC393" s="259"/>
      <c r="BD393" s="259"/>
      <c r="BE393" s="259"/>
      <c r="BF393" s="259"/>
      <c r="BG393" s="259"/>
    </row>
    <row r="394" spans="1:59" s="2" customFormat="1" ht="15.75" x14ac:dyDescent="0.25">
      <c r="A394" s="24"/>
      <c r="B394" s="25"/>
      <c r="C394" s="57"/>
      <c r="D394" s="66"/>
      <c r="E394" s="66"/>
      <c r="F394" s="133"/>
      <c r="G394" s="231"/>
      <c r="H394" s="237"/>
      <c r="I394" s="258"/>
      <c r="J394" s="258"/>
      <c r="K394" s="259"/>
      <c r="L394" s="259"/>
      <c r="M394" s="259"/>
      <c r="N394" s="259"/>
      <c r="O394" s="259"/>
      <c r="P394" s="259"/>
      <c r="Q394" s="259"/>
      <c r="R394" s="259"/>
      <c r="S394" s="259"/>
      <c r="T394" s="259"/>
      <c r="U394" s="259"/>
      <c r="V394" s="259"/>
      <c r="W394" s="259"/>
      <c r="X394" s="259"/>
      <c r="Y394" s="259"/>
      <c r="Z394" s="259"/>
      <c r="AA394" s="259"/>
      <c r="AB394" s="259"/>
      <c r="AC394" s="259"/>
      <c r="AD394" s="259"/>
      <c r="AE394" s="259"/>
      <c r="AF394" s="259"/>
      <c r="AG394" s="259"/>
      <c r="AH394" s="259"/>
      <c r="AI394" s="259"/>
      <c r="AJ394" s="259"/>
      <c r="AK394" s="259"/>
      <c r="AL394" s="259"/>
      <c r="AM394" s="259"/>
      <c r="AN394" s="259"/>
      <c r="AO394" s="259"/>
      <c r="AP394" s="259"/>
      <c r="AQ394" s="259"/>
      <c r="AR394" s="259"/>
      <c r="AS394" s="259"/>
      <c r="AT394" s="259"/>
      <c r="AU394" s="259"/>
      <c r="AV394" s="259"/>
      <c r="AW394" s="259"/>
      <c r="AX394" s="259"/>
      <c r="AY394" s="259"/>
      <c r="AZ394" s="259"/>
      <c r="BA394" s="259"/>
      <c r="BB394" s="259"/>
      <c r="BC394" s="259"/>
      <c r="BD394" s="259"/>
      <c r="BE394" s="259"/>
      <c r="BF394" s="259"/>
      <c r="BG394" s="259"/>
    </row>
    <row r="395" spans="1:59" s="2" customFormat="1" x14ac:dyDescent="0.2">
      <c r="A395" s="8">
        <v>6320</v>
      </c>
      <c r="B395" s="10">
        <v>5163</v>
      </c>
      <c r="C395" s="58" t="s">
        <v>109</v>
      </c>
      <c r="D395" s="66">
        <v>970</v>
      </c>
      <c r="E395" s="66">
        <v>970</v>
      </c>
      <c r="F395" s="129">
        <v>409589</v>
      </c>
      <c r="G395" s="231">
        <v>970</v>
      </c>
      <c r="H395" s="237"/>
      <c r="I395" s="258"/>
      <c r="J395" s="258"/>
      <c r="K395" s="259"/>
      <c r="L395" s="259"/>
      <c r="M395" s="259"/>
      <c r="N395" s="259"/>
      <c r="O395" s="259"/>
      <c r="P395" s="259"/>
      <c r="Q395" s="259"/>
      <c r="R395" s="259"/>
      <c r="S395" s="259"/>
      <c r="T395" s="259"/>
      <c r="U395" s="259"/>
      <c r="V395" s="259"/>
      <c r="W395" s="259"/>
      <c r="X395" s="259"/>
      <c r="Y395" s="259"/>
      <c r="Z395" s="259"/>
      <c r="AA395" s="259"/>
      <c r="AB395" s="259"/>
      <c r="AC395" s="259"/>
      <c r="AD395" s="259"/>
      <c r="AE395" s="259"/>
      <c r="AF395" s="259"/>
      <c r="AG395" s="259"/>
      <c r="AH395" s="259"/>
      <c r="AI395" s="259"/>
      <c r="AJ395" s="259"/>
      <c r="AK395" s="259"/>
      <c r="AL395" s="259"/>
      <c r="AM395" s="259"/>
      <c r="AN395" s="259"/>
      <c r="AO395" s="259"/>
      <c r="AP395" s="259"/>
      <c r="AQ395" s="259"/>
      <c r="AR395" s="259"/>
      <c r="AS395" s="259"/>
      <c r="AT395" s="259"/>
      <c r="AU395" s="259"/>
      <c r="AV395" s="259"/>
      <c r="AW395" s="259"/>
      <c r="AX395" s="259"/>
      <c r="AY395" s="259"/>
      <c r="AZ395" s="259"/>
      <c r="BA395" s="259"/>
      <c r="BB395" s="259"/>
      <c r="BC395" s="259"/>
      <c r="BD395" s="259"/>
      <c r="BE395" s="259"/>
      <c r="BF395" s="259"/>
      <c r="BG395" s="259"/>
    </row>
    <row r="396" spans="1:59" s="2" customFormat="1" ht="15.75" x14ac:dyDescent="0.25">
      <c r="A396" s="24">
        <v>6320</v>
      </c>
      <c r="B396" s="25"/>
      <c r="C396" s="57" t="s">
        <v>181</v>
      </c>
      <c r="D396" s="67">
        <f>SUM(D395)</f>
        <v>970</v>
      </c>
      <c r="E396" s="67">
        <f>SUM(E395)</f>
        <v>970</v>
      </c>
      <c r="F396" s="133">
        <f>SUM(F395)</f>
        <v>409589</v>
      </c>
      <c r="G396" s="233">
        <f>SUM(G395)</f>
        <v>970</v>
      </c>
      <c r="H396" s="239">
        <f>G396</f>
        <v>970</v>
      </c>
      <c r="I396" s="258"/>
      <c r="J396" s="258"/>
      <c r="K396" s="259"/>
      <c r="L396" s="259"/>
      <c r="M396" s="259"/>
      <c r="N396" s="259"/>
      <c r="O396" s="259"/>
      <c r="P396" s="259"/>
      <c r="Q396" s="259"/>
      <c r="R396" s="259"/>
      <c r="S396" s="259"/>
      <c r="T396" s="259"/>
      <c r="U396" s="259"/>
      <c r="V396" s="259"/>
      <c r="W396" s="259"/>
      <c r="X396" s="259"/>
      <c r="Y396" s="259"/>
      <c r="Z396" s="259"/>
      <c r="AA396" s="259"/>
      <c r="AB396" s="259"/>
      <c r="AC396" s="259"/>
      <c r="AD396" s="259"/>
      <c r="AE396" s="259"/>
      <c r="AF396" s="259"/>
      <c r="AG396" s="259"/>
      <c r="AH396" s="259"/>
      <c r="AI396" s="259"/>
      <c r="AJ396" s="259"/>
      <c r="AK396" s="259"/>
      <c r="AL396" s="259"/>
      <c r="AM396" s="259"/>
      <c r="AN396" s="259"/>
      <c r="AO396" s="259"/>
      <c r="AP396" s="259"/>
      <c r="AQ396" s="259"/>
      <c r="AR396" s="259"/>
      <c r="AS396" s="259"/>
      <c r="AT396" s="259"/>
      <c r="AU396" s="259"/>
      <c r="AV396" s="259"/>
      <c r="AW396" s="259"/>
      <c r="AX396" s="259"/>
      <c r="AY396" s="259"/>
      <c r="AZ396" s="259"/>
      <c r="BA396" s="259"/>
      <c r="BB396" s="259"/>
      <c r="BC396" s="259"/>
      <c r="BD396" s="259"/>
      <c r="BE396" s="259"/>
      <c r="BF396" s="259"/>
      <c r="BG396" s="259"/>
    </row>
    <row r="397" spans="1:59" s="2" customFormat="1" ht="15.75" x14ac:dyDescent="0.25">
      <c r="A397" s="26"/>
      <c r="B397" s="25"/>
      <c r="C397" s="57"/>
      <c r="D397" s="66"/>
      <c r="E397" s="66"/>
      <c r="F397" s="129"/>
      <c r="G397" s="231"/>
      <c r="H397" s="237"/>
      <c r="I397" s="258"/>
      <c r="J397" s="258"/>
      <c r="K397" s="259"/>
      <c r="L397" s="259"/>
      <c r="M397" s="259"/>
      <c r="N397" s="259"/>
      <c r="O397" s="259"/>
      <c r="P397" s="259"/>
      <c r="Q397" s="259"/>
      <c r="R397" s="259"/>
      <c r="S397" s="259"/>
      <c r="T397" s="259"/>
      <c r="U397" s="259"/>
      <c r="V397" s="259"/>
      <c r="W397" s="259"/>
      <c r="X397" s="259"/>
      <c r="Y397" s="259"/>
      <c r="Z397" s="259"/>
      <c r="AA397" s="259"/>
      <c r="AB397" s="259"/>
      <c r="AC397" s="259"/>
      <c r="AD397" s="259"/>
      <c r="AE397" s="259"/>
      <c r="AF397" s="259"/>
      <c r="AG397" s="259"/>
      <c r="AH397" s="259"/>
      <c r="AI397" s="259"/>
      <c r="AJ397" s="259"/>
      <c r="AK397" s="259"/>
      <c r="AL397" s="259"/>
      <c r="AM397" s="259"/>
      <c r="AN397" s="259"/>
      <c r="AO397" s="259"/>
      <c r="AP397" s="259"/>
      <c r="AQ397" s="259"/>
      <c r="AR397" s="259"/>
      <c r="AS397" s="259"/>
      <c r="AT397" s="259"/>
      <c r="AU397" s="259"/>
      <c r="AV397" s="259"/>
      <c r="AW397" s="259"/>
      <c r="AX397" s="259"/>
      <c r="AY397" s="259"/>
      <c r="AZ397" s="259"/>
      <c r="BA397" s="259"/>
      <c r="BB397" s="259"/>
      <c r="BC397" s="259"/>
      <c r="BD397" s="259"/>
      <c r="BE397" s="259"/>
      <c r="BF397" s="259"/>
      <c r="BG397" s="259"/>
    </row>
    <row r="398" spans="1:59" s="5" customFormat="1" x14ac:dyDescent="0.2">
      <c r="A398" s="26">
        <v>6409</v>
      </c>
      <c r="B398" s="29">
        <v>5901</v>
      </c>
      <c r="C398" s="61" t="s">
        <v>38</v>
      </c>
      <c r="D398" s="66">
        <v>3000</v>
      </c>
      <c r="E398" s="66">
        <f>3000-110.8+1591+6134.3-121+185-24</f>
        <v>10654.5</v>
      </c>
      <c r="F398" s="129">
        <v>0</v>
      </c>
      <c r="G398" s="231">
        <v>3000</v>
      </c>
      <c r="H398" s="237"/>
      <c r="I398" s="258"/>
      <c r="J398" s="258"/>
      <c r="K398" s="271"/>
      <c r="L398" s="271"/>
      <c r="M398" s="271"/>
      <c r="N398" s="271"/>
      <c r="O398" s="271"/>
      <c r="P398" s="271"/>
      <c r="Q398" s="271"/>
      <c r="R398" s="271"/>
      <c r="S398" s="271"/>
      <c r="T398" s="271"/>
      <c r="U398" s="271"/>
      <c r="V398" s="271"/>
      <c r="W398" s="271"/>
      <c r="X398" s="271"/>
      <c r="Y398" s="271"/>
      <c r="Z398" s="271"/>
      <c r="AA398" s="271"/>
      <c r="AB398" s="271"/>
      <c r="AC398" s="271"/>
      <c r="AD398" s="271"/>
      <c r="AE398" s="271"/>
      <c r="AF398" s="271"/>
      <c r="AG398" s="271"/>
      <c r="AH398" s="271"/>
      <c r="AI398" s="271"/>
      <c r="AJ398" s="271"/>
      <c r="AK398" s="271"/>
      <c r="AL398" s="271"/>
      <c r="AM398" s="271"/>
      <c r="AN398" s="271"/>
      <c r="AO398" s="271"/>
      <c r="AP398" s="271"/>
      <c r="AQ398" s="271"/>
      <c r="AR398" s="271"/>
      <c r="AS398" s="271"/>
      <c r="AT398" s="271"/>
      <c r="AU398" s="271"/>
      <c r="AV398" s="271"/>
      <c r="AW398" s="271"/>
      <c r="AX398" s="271"/>
      <c r="AY398" s="271"/>
      <c r="AZ398" s="271"/>
      <c r="BA398" s="271"/>
      <c r="BB398" s="271"/>
      <c r="BC398" s="271"/>
      <c r="BD398" s="271"/>
      <c r="BE398" s="271"/>
      <c r="BF398" s="271"/>
      <c r="BG398" s="271"/>
    </row>
    <row r="399" spans="1:59" s="5" customFormat="1" ht="15.75" x14ac:dyDescent="0.25">
      <c r="A399" s="24">
        <v>6409</v>
      </c>
      <c r="B399" s="25"/>
      <c r="C399" s="57" t="s">
        <v>39</v>
      </c>
      <c r="D399" s="67">
        <f>SUM(D398:D398)</f>
        <v>3000</v>
      </c>
      <c r="E399" s="67">
        <f>SUM(E398:E398)</f>
        <v>10654.5</v>
      </c>
      <c r="F399" s="133">
        <f>SUM(F398:F398)</f>
        <v>0</v>
      </c>
      <c r="G399" s="233">
        <f>SUM(G398)</f>
        <v>3000</v>
      </c>
      <c r="H399" s="239">
        <f>G399</f>
        <v>3000</v>
      </c>
      <c r="I399" s="258"/>
      <c r="J399" s="258"/>
      <c r="K399" s="271"/>
      <c r="L399" s="271"/>
      <c r="M399" s="271"/>
      <c r="N399" s="271"/>
      <c r="O399" s="271"/>
      <c r="P399" s="271"/>
      <c r="Q399" s="271"/>
      <c r="R399" s="271"/>
      <c r="S399" s="271"/>
      <c r="T399" s="271"/>
      <c r="U399" s="271"/>
      <c r="V399" s="271"/>
      <c r="W399" s="271"/>
      <c r="X399" s="271"/>
      <c r="Y399" s="271"/>
      <c r="Z399" s="271"/>
      <c r="AA399" s="271"/>
      <c r="AB399" s="271"/>
      <c r="AC399" s="271"/>
      <c r="AD399" s="271"/>
      <c r="AE399" s="271"/>
      <c r="AF399" s="271"/>
      <c r="AG399" s="271"/>
      <c r="AH399" s="271"/>
      <c r="AI399" s="271"/>
      <c r="AJ399" s="271"/>
      <c r="AK399" s="271"/>
      <c r="AL399" s="271"/>
      <c r="AM399" s="271"/>
      <c r="AN399" s="271"/>
      <c r="AO399" s="271"/>
      <c r="AP399" s="271"/>
      <c r="AQ399" s="271"/>
      <c r="AR399" s="271"/>
      <c r="AS399" s="271"/>
      <c r="AT399" s="271"/>
      <c r="AU399" s="271"/>
      <c r="AV399" s="271"/>
      <c r="AW399" s="271"/>
      <c r="AX399" s="271"/>
      <c r="AY399" s="271"/>
      <c r="AZ399" s="271"/>
      <c r="BA399" s="271"/>
      <c r="BB399" s="271"/>
      <c r="BC399" s="271"/>
      <c r="BD399" s="271"/>
      <c r="BE399" s="271"/>
      <c r="BF399" s="271"/>
      <c r="BG399" s="271"/>
    </row>
    <row r="400" spans="1:59" s="5" customFormat="1" ht="15.75" x14ac:dyDescent="0.25">
      <c r="A400" s="26"/>
      <c r="B400" s="25"/>
      <c r="C400" s="57"/>
      <c r="D400" s="66"/>
      <c r="E400" s="66"/>
      <c r="F400" s="129"/>
      <c r="G400" s="231"/>
      <c r="H400" s="237"/>
      <c r="I400" s="258"/>
      <c r="J400" s="258"/>
      <c r="K400" s="271"/>
      <c r="L400" s="271"/>
      <c r="M400" s="271"/>
      <c r="N400" s="271"/>
      <c r="O400" s="271"/>
      <c r="P400" s="271"/>
      <c r="Q400" s="271"/>
      <c r="R400" s="271"/>
      <c r="S400" s="271"/>
      <c r="T400" s="271"/>
      <c r="U400" s="271"/>
      <c r="V400" s="271"/>
      <c r="W400" s="271"/>
      <c r="X400" s="271"/>
      <c r="Y400" s="271"/>
      <c r="Z400" s="271"/>
      <c r="AA400" s="271"/>
      <c r="AB400" s="271"/>
      <c r="AC400" s="271"/>
      <c r="AD400" s="271"/>
      <c r="AE400" s="271"/>
      <c r="AF400" s="271"/>
      <c r="AG400" s="271"/>
      <c r="AH400" s="271"/>
      <c r="AI400" s="271"/>
      <c r="AJ400" s="271"/>
      <c r="AK400" s="271"/>
      <c r="AL400" s="271"/>
      <c r="AM400" s="271"/>
      <c r="AN400" s="271"/>
      <c r="AO400" s="271"/>
      <c r="AP400" s="271"/>
      <c r="AQ400" s="271"/>
      <c r="AR400" s="271"/>
      <c r="AS400" s="271"/>
      <c r="AT400" s="271"/>
      <c r="AU400" s="271"/>
      <c r="AV400" s="271"/>
      <c r="AW400" s="271"/>
      <c r="AX400" s="271"/>
      <c r="AY400" s="271"/>
      <c r="AZ400" s="271"/>
      <c r="BA400" s="271"/>
      <c r="BB400" s="271"/>
      <c r="BC400" s="271"/>
      <c r="BD400" s="271"/>
      <c r="BE400" s="271"/>
      <c r="BF400" s="271"/>
      <c r="BG400" s="271"/>
    </row>
    <row r="401" spans="1:59" s="5" customFormat="1" x14ac:dyDescent="0.2">
      <c r="A401" s="8">
        <v>6330</v>
      </c>
      <c r="B401" s="45">
        <v>5342</v>
      </c>
      <c r="C401" s="62" t="s">
        <v>42</v>
      </c>
      <c r="D401" s="66">
        <f>'Příjmy 2025 listopad  Rozp'!D42</f>
        <v>490</v>
      </c>
      <c r="E401" s="66">
        <f>'Příjmy 2025 listopad  Rozp'!E42</f>
        <v>490</v>
      </c>
      <c r="F401" s="214">
        <f>'Příjmy 2025 listopad  Rozp'!F42</f>
        <v>364504</v>
      </c>
      <c r="G401" s="231">
        <f>'Příjmy 2025 listopad  Rozp'!G42</f>
        <v>490</v>
      </c>
      <c r="H401" s="237"/>
      <c r="I401" s="258"/>
      <c r="J401" s="258"/>
      <c r="K401" s="271"/>
      <c r="L401" s="271"/>
      <c r="M401" s="271"/>
      <c r="N401" s="271"/>
      <c r="O401" s="271"/>
      <c r="P401" s="271"/>
      <c r="Q401" s="271"/>
      <c r="R401" s="271"/>
      <c r="S401" s="271"/>
      <c r="T401" s="271"/>
      <c r="U401" s="271"/>
      <c r="V401" s="271"/>
      <c r="W401" s="271"/>
      <c r="X401" s="271"/>
      <c r="Y401" s="271"/>
      <c r="Z401" s="271"/>
      <c r="AA401" s="271"/>
      <c r="AB401" s="271"/>
      <c r="AC401" s="271"/>
      <c r="AD401" s="271"/>
      <c r="AE401" s="271"/>
      <c r="AF401" s="271"/>
      <c r="AG401" s="271"/>
      <c r="AH401" s="271"/>
      <c r="AI401" s="271"/>
      <c r="AJ401" s="271"/>
      <c r="AK401" s="271"/>
      <c r="AL401" s="271"/>
      <c r="AM401" s="271"/>
      <c r="AN401" s="271"/>
      <c r="AO401" s="271"/>
      <c r="AP401" s="271"/>
      <c r="AQ401" s="271"/>
      <c r="AR401" s="271"/>
      <c r="AS401" s="271"/>
      <c r="AT401" s="271"/>
      <c r="AU401" s="271"/>
      <c r="AV401" s="271"/>
      <c r="AW401" s="271"/>
      <c r="AX401" s="271"/>
      <c r="AY401" s="271"/>
      <c r="AZ401" s="271"/>
      <c r="BA401" s="271"/>
      <c r="BB401" s="271"/>
      <c r="BC401" s="271"/>
      <c r="BD401" s="271"/>
      <c r="BE401" s="271"/>
      <c r="BF401" s="271"/>
      <c r="BG401" s="271"/>
    </row>
    <row r="402" spans="1:59" s="5" customFormat="1" x14ac:dyDescent="0.2">
      <c r="A402" s="47">
        <v>6330</v>
      </c>
      <c r="B402" s="48">
        <v>5345</v>
      </c>
      <c r="C402" s="46" t="s">
        <v>79</v>
      </c>
      <c r="D402" s="66">
        <f>'Příjmy 2025 listopad  Rozp'!D45</f>
        <v>476</v>
      </c>
      <c r="E402" s="66">
        <f>'Příjmy 2025 listopad  Rozp'!E45</f>
        <v>476</v>
      </c>
      <c r="F402" s="214">
        <f>'Příjmy 2025 listopad  Rozp'!F45</f>
        <v>349945</v>
      </c>
      <c r="G402" s="231">
        <f>'Příjmy 2025 listopad  Rozp'!G45</f>
        <v>490</v>
      </c>
      <c r="H402" s="237"/>
      <c r="I402" s="258"/>
      <c r="J402" s="258"/>
      <c r="K402" s="271"/>
      <c r="L402" s="271"/>
      <c r="M402" s="271"/>
      <c r="N402" s="271"/>
      <c r="O402" s="271"/>
      <c r="P402" s="271"/>
      <c r="Q402" s="271"/>
      <c r="R402" s="271"/>
      <c r="S402" s="271"/>
      <c r="T402" s="271"/>
      <c r="U402" s="271"/>
      <c r="V402" s="271"/>
      <c r="W402" s="271"/>
      <c r="X402" s="271"/>
      <c r="Y402" s="271"/>
      <c r="Z402" s="271"/>
      <c r="AA402" s="271"/>
      <c r="AB402" s="271"/>
      <c r="AC402" s="271"/>
      <c r="AD402" s="271"/>
      <c r="AE402" s="271"/>
      <c r="AF402" s="271"/>
      <c r="AG402" s="271"/>
      <c r="AH402" s="271"/>
      <c r="AI402" s="271"/>
      <c r="AJ402" s="271"/>
      <c r="AK402" s="271"/>
      <c r="AL402" s="271"/>
      <c r="AM402" s="271"/>
      <c r="AN402" s="271"/>
      <c r="AO402" s="271"/>
      <c r="AP402" s="271"/>
      <c r="AQ402" s="271"/>
      <c r="AR402" s="271"/>
      <c r="AS402" s="271"/>
      <c r="AT402" s="271"/>
      <c r="AU402" s="271"/>
      <c r="AV402" s="271"/>
      <c r="AW402" s="271"/>
      <c r="AX402" s="271"/>
      <c r="AY402" s="271"/>
      <c r="AZ402" s="271"/>
      <c r="BA402" s="271"/>
      <c r="BB402" s="271"/>
      <c r="BC402" s="271"/>
      <c r="BD402" s="271"/>
      <c r="BE402" s="271"/>
      <c r="BF402" s="271"/>
      <c r="BG402" s="271"/>
    </row>
    <row r="403" spans="1:59" s="5" customFormat="1" x14ac:dyDescent="0.2">
      <c r="A403" s="47"/>
      <c r="B403" s="48"/>
      <c r="C403" s="46" t="s">
        <v>176</v>
      </c>
      <c r="D403" s="66">
        <f>'Příjmy 2025 listopad  Rozp'!D40</f>
        <v>2916</v>
      </c>
      <c r="E403" s="66">
        <f>'Příjmy 2025 listopad  Rozp'!E40</f>
        <v>2916</v>
      </c>
      <c r="F403" s="214">
        <f>'Příjmy 2025 listopad  Rozp'!F40</f>
        <v>0</v>
      </c>
      <c r="G403" s="231">
        <f>'Příjmy 2025 listopad  Rozp'!G40</f>
        <v>1288</v>
      </c>
      <c r="H403" s="237"/>
      <c r="I403" s="258"/>
      <c r="J403" s="258"/>
      <c r="K403" s="271"/>
      <c r="L403" s="271"/>
      <c r="M403" s="271"/>
      <c r="N403" s="271"/>
      <c r="O403" s="271"/>
      <c r="P403" s="271"/>
      <c r="Q403" s="271"/>
      <c r="R403" s="271"/>
      <c r="S403" s="271"/>
      <c r="T403" s="271"/>
      <c r="U403" s="271"/>
      <c r="V403" s="271"/>
      <c r="W403" s="271"/>
      <c r="X403" s="271"/>
      <c r="Y403" s="271"/>
      <c r="Z403" s="271"/>
      <c r="AA403" s="271"/>
      <c r="AB403" s="271"/>
      <c r="AC403" s="271"/>
      <c r="AD403" s="271"/>
      <c r="AE403" s="271"/>
      <c r="AF403" s="271"/>
      <c r="AG403" s="271"/>
      <c r="AH403" s="271"/>
      <c r="AI403" s="271"/>
      <c r="AJ403" s="271"/>
      <c r="AK403" s="271"/>
      <c r="AL403" s="271"/>
      <c r="AM403" s="271"/>
      <c r="AN403" s="271"/>
      <c r="AO403" s="271"/>
      <c r="AP403" s="271"/>
      <c r="AQ403" s="271"/>
      <c r="AR403" s="271"/>
      <c r="AS403" s="271"/>
      <c r="AT403" s="271"/>
      <c r="AU403" s="271"/>
      <c r="AV403" s="271"/>
      <c r="AW403" s="271"/>
      <c r="AX403" s="271"/>
      <c r="AY403" s="271"/>
      <c r="AZ403" s="271"/>
      <c r="BA403" s="271"/>
      <c r="BB403" s="271"/>
      <c r="BC403" s="271"/>
      <c r="BD403" s="271"/>
      <c r="BE403" s="271"/>
      <c r="BF403" s="271"/>
      <c r="BG403" s="271"/>
    </row>
    <row r="404" spans="1:59" s="159" customFormat="1" x14ac:dyDescent="0.2">
      <c r="A404" s="47"/>
      <c r="B404" s="48"/>
      <c r="C404" s="46" t="s">
        <v>335</v>
      </c>
      <c r="D404" s="66"/>
      <c r="E404" s="66">
        <f>'Příjmy 2025 listopad  Rozp'!E44</f>
        <v>46586.5</v>
      </c>
      <c r="F404" s="214">
        <f>'Příjmy 2025 listopad  Rozp'!F44</f>
        <v>46586500</v>
      </c>
      <c r="G404" s="231">
        <v>0</v>
      </c>
      <c r="H404" s="237"/>
      <c r="I404" s="258"/>
      <c r="J404" s="258"/>
      <c r="K404" s="258"/>
      <c r="L404" s="258"/>
      <c r="M404" s="258"/>
      <c r="N404" s="258"/>
      <c r="O404" s="258"/>
      <c r="P404" s="258"/>
      <c r="Q404" s="258"/>
      <c r="R404" s="258"/>
      <c r="S404" s="258"/>
      <c r="T404" s="258"/>
      <c r="U404" s="258"/>
      <c r="V404" s="258"/>
      <c r="W404" s="258"/>
      <c r="X404" s="258"/>
      <c r="Y404" s="258"/>
      <c r="Z404" s="258"/>
      <c r="AA404" s="258"/>
      <c r="AB404" s="258"/>
      <c r="AC404" s="258"/>
      <c r="AD404" s="258"/>
      <c r="AE404" s="258"/>
      <c r="AF404" s="258"/>
      <c r="AG404" s="258"/>
      <c r="AH404" s="258"/>
      <c r="AI404" s="258"/>
      <c r="AJ404" s="258"/>
      <c r="AK404" s="258"/>
      <c r="AL404" s="258"/>
      <c r="AM404" s="258"/>
      <c r="AN404" s="258"/>
      <c r="AO404" s="258"/>
      <c r="AP404" s="258"/>
      <c r="AQ404" s="258"/>
      <c r="AR404" s="258"/>
      <c r="AS404" s="258"/>
      <c r="AT404" s="258"/>
      <c r="AU404" s="258"/>
      <c r="AV404" s="258"/>
      <c r="AW404" s="258"/>
      <c r="AX404" s="258"/>
      <c r="AY404" s="258"/>
      <c r="AZ404" s="258"/>
      <c r="BA404" s="258"/>
      <c r="BB404" s="258"/>
      <c r="BC404" s="258"/>
      <c r="BD404" s="258"/>
      <c r="BE404" s="258"/>
      <c r="BF404" s="258"/>
      <c r="BG404" s="258"/>
    </row>
    <row r="405" spans="1:59" s="5" customFormat="1" x14ac:dyDescent="0.2">
      <c r="A405" s="47">
        <v>6330</v>
      </c>
      <c r="B405" s="48">
        <v>5349</v>
      </c>
      <c r="C405" s="46" t="s">
        <v>59</v>
      </c>
      <c r="D405" s="66">
        <f>'Příjmy 2025 listopad  Rozp'!D41</f>
        <v>0</v>
      </c>
      <c r="E405" s="66">
        <f>'Příjmy 2025 listopad  Rozp'!E43</f>
        <v>2500</v>
      </c>
      <c r="F405" s="214">
        <f>'Příjmy 2025 listopad  Rozp'!F41</f>
        <v>0</v>
      </c>
      <c r="G405" s="231">
        <f>'Příjmy 2025 listopad  Rozp'!G43</f>
        <v>0</v>
      </c>
      <c r="H405" s="237"/>
      <c r="I405" s="258"/>
      <c r="J405" s="258"/>
      <c r="K405" s="271"/>
      <c r="L405" s="271"/>
      <c r="M405" s="271"/>
      <c r="N405" s="271"/>
      <c r="O405" s="271"/>
      <c r="P405" s="271"/>
      <c r="Q405" s="271"/>
      <c r="R405" s="271"/>
      <c r="S405" s="271"/>
      <c r="T405" s="271"/>
      <c r="U405" s="271"/>
      <c r="V405" s="271"/>
      <c r="W405" s="271"/>
      <c r="X405" s="271"/>
      <c r="Y405" s="271"/>
      <c r="Z405" s="271"/>
      <c r="AA405" s="271"/>
      <c r="AB405" s="271"/>
      <c r="AC405" s="271"/>
      <c r="AD405" s="271"/>
      <c r="AE405" s="271"/>
      <c r="AF405" s="271"/>
      <c r="AG405" s="271"/>
      <c r="AH405" s="271"/>
      <c r="AI405" s="271"/>
      <c r="AJ405" s="271"/>
      <c r="AK405" s="271"/>
      <c r="AL405" s="271"/>
      <c r="AM405" s="271"/>
      <c r="AN405" s="271"/>
      <c r="AO405" s="271"/>
      <c r="AP405" s="271"/>
      <c r="AQ405" s="271"/>
      <c r="AR405" s="271"/>
      <c r="AS405" s="271"/>
      <c r="AT405" s="271"/>
      <c r="AU405" s="271"/>
      <c r="AV405" s="271"/>
      <c r="AW405" s="271"/>
      <c r="AX405" s="271"/>
      <c r="AY405" s="271"/>
      <c r="AZ405" s="271"/>
      <c r="BA405" s="271"/>
      <c r="BB405" s="271"/>
      <c r="BC405" s="271"/>
      <c r="BD405" s="271"/>
      <c r="BE405" s="271"/>
      <c r="BF405" s="271"/>
      <c r="BG405" s="271"/>
    </row>
    <row r="406" spans="1:59" s="5" customFormat="1" ht="47.25" x14ac:dyDescent="0.25">
      <c r="A406" s="47">
        <v>6330</v>
      </c>
      <c r="B406" s="48">
        <v>5347</v>
      </c>
      <c r="C406" s="59" t="s">
        <v>311</v>
      </c>
      <c r="D406" s="66"/>
      <c r="E406" s="66"/>
      <c r="F406" s="129"/>
      <c r="G406" s="231"/>
      <c r="H406" s="237"/>
      <c r="I406" s="258"/>
      <c r="J406" s="258"/>
      <c r="K406" s="271"/>
      <c r="L406" s="271"/>
      <c r="M406" s="271"/>
      <c r="N406" s="271"/>
      <c r="O406" s="271"/>
      <c r="P406" s="271"/>
      <c r="Q406" s="271"/>
      <c r="R406" s="271"/>
      <c r="S406" s="271"/>
      <c r="T406" s="271"/>
      <c r="U406" s="271"/>
      <c r="V406" s="271"/>
      <c r="W406" s="271"/>
      <c r="X406" s="271"/>
      <c r="Y406" s="271"/>
      <c r="Z406" s="271"/>
      <c r="AA406" s="271"/>
      <c r="AB406" s="271"/>
      <c r="AC406" s="271"/>
      <c r="AD406" s="271"/>
      <c r="AE406" s="271"/>
      <c r="AF406" s="271"/>
      <c r="AG406" s="271"/>
      <c r="AH406" s="271"/>
      <c r="AI406" s="271"/>
      <c r="AJ406" s="271"/>
      <c r="AK406" s="271"/>
      <c r="AL406" s="271"/>
      <c r="AM406" s="271"/>
      <c r="AN406" s="271"/>
      <c r="AO406" s="271"/>
      <c r="AP406" s="271"/>
      <c r="AQ406" s="271"/>
      <c r="AR406" s="271"/>
      <c r="AS406" s="271"/>
      <c r="AT406" s="271"/>
      <c r="AU406" s="271"/>
      <c r="AV406" s="271"/>
      <c r="AW406" s="271"/>
      <c r="AX406" s="271"/>
      <c r="AY406" s="271"/>
      <c r="AZ406" s="271"/>
      <c r="BA406" s="271"/>
      <c r="BB406" s="271"/>
      <c r="BC406" s="271"/>
      <c r="BD406" s="271"/>
      <c r="BE406" s="271"/>
      <c r="BF406" s="271"/>
      <c r="BG406" s="271"/>
    </row>
    <row r="407" spans="1:59" s="5" customFormat="1" x14ac:dyDescent="0.2">
      <c r="A407" s="47">
        <v>6330</v>
      </c>
      <c r="B407" s="48">
        <v>5347</v>
      </c>
      <c r="C407" s="58" t="s">
        <v>336</v>
      </c>
      <c r="D407" s="66">
        <v>0</v>
      </c>
      <c r="E407" s="66">
        <v>111.9</v>
      </c>
      <c r="F407" s="129">
        <v>111943.19</v>
      </c>
      <c r="G407" s="231">
        <v>0</v>
      </c>
      <c r="H407" s="237"/>
      <c r="I407" s="258"/>
      <c r="J407" s="258"/>
      <c r="K407" s="271"/>
      <c r="L407" s="271"/>
      <c r="M407" s="271"/>
      <c r="N407" s="271"/>
      <c r="O407" s="271"/>
      <c r="P407" s="271"/>
      <c r="Q407" s="271"/>
      <c r="R407" s="271"/>
      <c r="S407" s="271"/>
      <c r="T407" s="271"/>
      <c r="U407" s="271"/>
      <c r="V407" s="271"/>
      <c r="W407" s="271"/>
      <c r="X407" s="271"/>
      <c r="Y407" s="271"/>
      <c r="Z407" s="271"/>
      <c r="AA407" s="271"/>
      <c r="AB407" s="271"/>
      <c r="AC407" s="271"/>
      <c r="AD407" s="271"/>
      <c r="AE407" s="271"/>
      <c r="AF407" s="271"/>
      <c r="AG407" s="271"/>
      <c r="AH407" s="271"/>
      <c r="AI407" s="271"/>
      <c r="AJ407" s="271"/>
      <c r="AK407" s="271"/>
      <c r="AL407" s="271"/>
      <c r="AM407" s="271"/>
      <c r="AN407" s="271"/>
      <c r="AO407" s="271"/>
      <c r="AP407" s="271"/>
      <c r="AQ407" s="271"/>
      <c r="AR407" s="271"/>
      <c r="AS407" s="271"/>
      <c r="AT407" s="271"/>
      <c r="AU407" s="271"/>
      <c r="AV407" s="271"/>
      <c r="AW407" s="271"/>
      <c r="AX407" s="271"/>
      <c r="AY407" s="271"/>
      <c r="AZ407" s="271"/>
      <c r="BA407" s="271"/>
      <c r="BB407" s="271"/>
      <c r="BC407" s="271"/>
      <c r="BD407" s="271"/>
      <c r="BE407" s="271"/>
      <c r="BF407" s="271"/>
      <c r="BG407" s="271"/>
    </row>
    <row r="408" spans="1:59" s="5" customFormat="1" x14ac:dyDescent="0.2">
      <c r="A408" s="8">
        <v>6330</v>
      </c>
      <c r="B408" s="45">
        <v>5347</v>
      </c>
      <c r="C408" s="113" t="s">
        <v>308</v>
      </c>
      <c r="D408" s="66">
        <v>0</v>
      </c>
      <c r="E408" s="66">
        <v>119.9</v>
      </c>
      <c r="F408" s="129">
        <v>119922</v>
      </c>
      <c r="G408" s="231">
        <v>0</v>
      </c>
      <c r="H408" s="237"/>
      <c r="I408" s="258"/>
      <c r="J408" s="258"/>
      <c r="K408" s="271"/>
      <c r="L408" s="271"/>
      <c r="M408" s="271"/>
      <c r="N408" s="271"/>
      <c r="O408" s="271"/>
      <c r="P408" s="271"/>
      <c r="Q408" s="271"/>
      <c r="R408" s="271"/>
      <c r="S408" s="271"/>
      <c r="T408" s="271"/>
      <c r="U408" s="271"/>
      <c r="V408" s="271"/>
      <c r="W408" s="271"/>
      <c r="X408" s="271"/>
      <c r="Y408" s="271"/>
      <c r="Z408" s="271"/>
      <c r="AA408" s="271"/>
      <c r="AB408" s="271"/>
      <c r="AC408" s="271"/>
      <c r="AD408" s="271"/>
      <c r="AE408" s="271"/>
      <c r="AF408" s="271"/>
      <c r="AG408" s="271"/>
      <c r="AH408" s="271"/>
      <c r="AI408" s="271"/>
      <c r="AJ408" s="271"/>
      <c r="AK408" s="271"/>
      <c r="AL408" s="271"/>
      <c r="AM408" s="271"/>
      <c r="AN408" s="271"/>
      <c r="AO408" s="271"/>
      <c r="AP408" s="271"/>
      <c r="AQ408" s="271"/>
      <c r="AR408" s="271"/>
      <c r="AS408" s="271"/>
      <c r="AT408" s="271"/>
      <c r="AU408" s="271"/>
      <c r="AV408" s="271"/>
      <c r="AW408" s="271"/>
      <c r="AX408" s="271"/>
      <c r="AY408" s="271"/>
      <c r="AZ408" s="271"/>
      <c r="BA408" s="271"/>
      <c r="BB408" s="271"/>
      <c r="BC408" s="271"/>
      <c r="BD408" s="271"/>
      <c r="BE408" s="271"/>
      <c r="BF408" s="271"/>
      <c r="BG408" s="271"/>
    </row>
    <row r="409" spans="1:59" s="5" customFormat="1" x14ac:dyDescent="0.2">
      <c r="A409" s="8">
        <v>6330</v>
      </c>
      <c r="B409" s="45">
        <v>5347</v>
      </c>
      <c r="C409" s="113" t="s">
        <v>309</v>
      </c>
      <c r="D409" s="66">
        <v>0</v>
      </c>
      <c r="E409" s="66">
        <v>5.4</v>
      </c>
      <c r="F409" s="129">
        <v>5427.99</v>
      </c>
      <c r="G409" s="231">
        <v>0</v>
      </c>
      <c r="H409" s="237"/>
      <c r="I409" s="258"/>
      <c r="J409" s="258"/>
      <c r="K409" s="271"/>
      <c r="L409" s="271"/>
      <c r="M409" s="271"/>
      <c r="N409" s="271"/>
      <c r="O409" s="271"/>
      <c r="P409" s="271"/>
      <c r="Q409" s="271"/>
      <c r="R409" s="271"/>
      <c r="S409" s="271"/>
      <c r="T409" s="271"/>
      <c r="U409" s="271"/>
      <c r="V409" s="271"/>
      <c r="W409" s="271"/>
      <c r="X409" s="271"/>
      <c r="Y409" s="271"/>
      <c r="Z409" s="271"/>
      <c r="AA409" s="271"/>
      <c r="AB409" s="271"/>
      <c r="AC409" s="271"/>
      <c r="AD409" s="271"/>
      <c r="AE409" s="271"/>
      <c r="AF409" s="271"/>
      <c r="AG409" s="271"/>
      <c r="AH409" s="271"/>
      <c r="AI409" s="271"/>
      <c r="AJ409" s="271"/>
      <c r="AK409" s="271"/>
      <c r="AL409" s="271"/>
      <c r="AM409" s="271"/>
      <c r="AN409" s="271"/>
      <c r="AO409" s="271"/>
      <c r="AP409" s="271"/>
      <c r="AQ409" s="271"/>
      <c r="AR409" s="271"/>
      <c r="AS409" s="271"/>
      <c r="AT409" s="271"/>
      <c r="AU409" s="271"/>
      <c r="AV409" s="271"/>
      <c r="AW409" s="271"/>
      <c r="AX409" s="271"/>
      <c r="AY409" s="271"/>
      <c r="AZ409" s="271"/>
      <c r="BA409" s="271"/>
      <c r="BB409" s="271"/>
      <c r="BC409" s="271"/>
      <c r="BD409" s="271"/>
      <c r="BE409" s="271"/>
      <c r="BF409" s="271"/>
      <c r="BG409" s="271"/>
    </row>
    <row r="410" spans="1:59" s="5" customFormat="1" x14ac:dyDescent="0.2">
      <c r="A410" s="8">
        <v>6330</v>
      </c>
      <c r="B410" s="45">
        <v>6363</v>
      </c>
      <c r="C410" s="113" t="s">
        <v>310</v>
      </c>
      <c r="D410" s="66">
        <v>0</v>
      </c>
      <c r="E410" s="66">
        <v>51.6</v>
      </c>
      <c r="F410" s="129">
        <v>51637.22</v>
      </c>
      <c r="G410" s="231">
        <v>0</v>
      </c>
      <c r="H410" s="237"/>
      <c r="I410" s="258"/>
      <c r="J410" s="258"/>
      <c r="K410" s="271"/>
      <c r="L410" s="271"/>
      <c r="M410" s="271"/>
      <c r="N410" s="271"/>
      <c r="O410" s="271"/>
      <c r="P410" s="271"/>
      <c r="Q410" s="271"/>
      <c r="R410" s="271"/>
      <c r="S410" s="271"/>
      <c r="T410" s="271"/>
      <c r="U410" s="271"/>
      <c r="V410" s="271"/>
      <c r="W410" s="271"/>
      <c r="X410" s="271"/>
      <c r="Y410" s="271"/>
      <c r="Z410" s="271"/>
      <c r="AA410" s="271"/>
      <c r="AB410" s="271"/>
      <c r="AC410" s="271"/>
      <c r="AD410" s="271"/>
      <c r="AE410" s="271"/>
      <c r="AF410" s="271"/>
      <c r="AG410" s="271"/>
      <c r="AH410" s="271"/>
      <c r="AI410" s="271"/>
      <c r="AJ410" s="271"/>
      <c r="AK410" s="271"/>
      <c r="AL410" s="271"/>
      <c r="AM410" s="271"/>
      <c r="AN410" s="271"/>
      <c r="AO410" s="271"/>
      <c r="AP410" s="271"/>
      <c r="AQ410" s="271"/>
      <c r="AR410" s="271"/>
      <c r="AS410" s="271"/>
      <c r="AT410" s="271"/>
      <c r="AU410" s="271"/>
      <c r="AV410" s="271"/>
      <c r="AW410" s="271"/>
      <c r="AX410" s="271"/>
      <c r="AY410" s="271"/>
      <c r="AZ410" s="271"/>
      <c r="BA410" s="271"/>
      <c r="BB410" s="271"/>
      <c r="BC410" s="271"/>
      <c r="BD410" s="271"/>
      <c r="BE410" s="271"/>
      <c r="BF410" s="271"/>
      <c r="BG410" s="271"/>
    </row>
    <row r="411" spans="1:59" s="5" customFormat="1" ht="15.75" x14ac:dyDescent="0.25">
      <c r="A411" s="24">
        <v>6330</v>
      </c>
      <c r="B411" s="25"/>
      <c r="C411" s="57" t="s">
        <v>27</v>
      </c>
      <c r="D411" s="67">
        <f>SUM(D401:D410)</f>
        <v>3882</v>
      </c>
      <c r="E411" s="67">
        <f>SUM(E401:E410)</f>
        <v>53257.3</v>
      </c>
      <c r="F411" s="133">
        <f t="shared" ref="F411" si="14">SUM(F401:F410)</f>
        <v>47589879.399999999</v>
      </c>
      <c r="G411" s="233">
        <f>SUM(G401:G410)</f>
        <v>2268</v>
      </c>
      <c r="H411" s="239">
        <f>G411</f>
        <v>2268</v>
      </c>
      <c r="I411" s="258"/>
      <c r="J411" s="258"/>
      <c r="K411" s="271"/>
      <c r="L411" s="271"/>
      <c r="M411" s="271"/>
      <c r="N411" s="271"/>
      <c r="O411" s="271"/>
      <c r="P411" s="271"/>
      <c r="Q411" s="271"/>
      <c r="R411" s="271"/>
      <c r="S411" s="271"/>
      <c r="T411" s="271"/>
      <c r="U411" s="271"/>
      <c r="V411" s="271"/>
      <c r="W411" s="271"/>
      <c r="X411" s="271"/>
      <c r="Y411" s="271"/>
      <c r="Z411" s="271"/>
      <c r="AA411" s="271"/>
      <c r="AB411" s="271"/>
      <c r="AC411" s="271"/>
      <c r="AD411" s="271"/>
      <c r="AE411" s="271"/>
      <c r="AF411" s="271"/>
      <c r="AG411" s="271"/>
      <c r="AH411" s="271"/>
      <c r="AI411" s="271"/>
      <c r="AJ411" s="271"/>
      <c r="AK411" s="271"/>
      <c r="AL411" s="271"/>
      <c r="AM411" s="271"/>
      <c r="AN411" s="271"/>
      <c r="AO411" s="271"/>
      <c r="AP411" s="271"/>
      <c r="AQ411" s="271"/>
      <c r="AR411" s="271"/>
      <c r="AS411" s="271"/>
      <c r="AT411" s="271"/>
      <c r="AU411" s="271"/>
      <c r="AV411" s="271"/>
      <c r="AW411" s="271"/>
      <c r="AX411" s="271"/>
      <c r="AY411" s="271"/>
      <c r="AZ411" s="271"/>
      <c r="BA411" s="271"/>
      <c r="BB411" s="271"/>
      <c r="BC411" s="271"/>
      <c r="BD411" s="271"/>
      <c r="BE411" s="271"/>
      <c r="BF411" s="271"/>
      <c r="BG411" s="271"/>
    </row>
    <row r="412" spans="1:59" s="5" customFormat="1" ht="16.5" thickBot="1" x14ac:dyDescent="0.3">
      <c r="A412" s="123"/>
      <c r="B412" s="124"/>
      <c r="C412" s="125"/>
      <c r="D412" s="153"/>
      <c r="E412" s="153"/>
      <c r="F412" s="196"/>
      <c r="G412" s="77"/>
      <c r="H412" s="77"/>
      <c r="I412" s="258"/>
      <c r="J412" s="258"/>
      <c r="K412" s="271"/>
      <c r="L412" s="271"/>
      <c r="M412" s="271"/>
      <c r="N412" s="271"/>
      <c r="O412" s="271"/>
      <c r="P412" s="271"/>
      <c r="Q412" s="271"/>
      <c r="R412" s="271"/>
      <c r="S412" s="271"/>
      <c r="T412" s="271"/>
      <c r="U412" s="271"/>
      <c r="V412" s="271"/>
      <c r="W412" s="271"/>
      <c r="X412" s="271"/>
      <c r="Y412" s="271"/>
      <c r="Z412" s="271"/>
      <c r="AA412" s="271"/>
      <c r="AB412" s="271"/>
      <c r="AC412" s="271"/>
      <c r="AD412" s="271"/>
      <c r="AE412" s="271"/>
      <c r="AF412" s="271"/>
      <c r="AG412" s="271"/>
      <c r="AH412" s="271"/>
      <c r="AI412" s="271"/>
      <c r="AJ412" s="271"/>
      <c r="AK412" s="271"/>
      <c r="AL412" s="271"/>
      <c r="AM412" s="271"/>
      <c r="AN412" s="271"/>
      <c r="AO412" s="271"/>
      <c r="AP412" s="271"/>
      <c r="AQ412" s="271"/>
      <c r="AR412" s="271"/>
      <c r="AS412" s="271"/>
      <c r="AT412" s="271"/>
      <c r="AU412" s="271"/>
      <c r="AV412" s="271"/>
      <c r="AW412" s="271"/>
      <c r="AX412" s="271"/>
      <c r="AY412" s="271"/>
      <c r="AZ412" s="271"/>
      <c r="BA412" s="271"/>
      <c r="BB412" s="271"/>
      <c r="BC412" s="271"/>
      <c r="BD412" s="271"/>
      <c r="BE412" s="271"/>
      <c r="BF412" s="271"/>
      <c r="BG412" s="271"/>
    </row>
    <row r="413" spans="1:59" s="5" customFormat="1" ht="16.5" thickBot="1" x14ac:dyDescent="0.3">
      <c r="A413" s="17"/>
      <c r="B413" s="30"/>
      <c r="C413" s="69" t="s">
        <v>82</v>
      </c>
      <c r="D413" s="79">
        <f>D58+D62+D68+D74+D92+D128+D146+D165+D168+D175+D180+D190+D195+D198+D218+D223+D231+D235+D238+D248+D257+D260+D268+D283+D288+D293+D318+D340+D352+D390+D393+D396+D399+D411</f>
        <v>180701.99</v>
      </c>
      <c r="E413" s="79">
        <f>E58+E62+E68+E74+E92+E128+E146+E165+E168+E175+E180+E190+E195+E198+E218+E223+E231+E235+E238+E248+E257+E260+E268+E283+E288+E293+E318+E340+E352+E390+E393+E396+E399+E411</f>
        <v>358277.29</v>
      </c>
      <c r="F413" s="212">
        <f>F58+F62+F68+F74+F92+F128+F146+F165+F168+F175+F180+F190+F195+F198+F218+F223+F231+F235+F238+F248+F257+F260+F268+F283+F288+F293+F318+F340+F352+F390+F393+F396+F399+F411</f>
        <v>182171677.50999999</v>
      </c>
      <c r="G413" s="234">
        <f>G58+G62+G68+G74+G92+G128+G146+G165+G168+G175+G180+G190+G195+G198+G218+G223+G231+G235+G238+G248+G257+G260+G268+G283+G288+G293+G318+G340+G352+G390+G393+G396+G399+G411</f>
        <v>228468</v>
      </c>
      <c r="H413" s="240">
        <f>SUM(H7:H411)</f>
        <v>228468</v>
      </c>
      <c r="I413" s="258"/>
      <c r="J413" s="258"/>
      <c r="K413" s="271"/>
      <c r="L413" s="271"/>
      <c r="M413" s="271"/>
      <c r="N413" s="271"/>
      <c r="O413" s="271"/>
      <c r="P413" s="271"/>
      <c r="Q413" s="271"/>
      <c r="R413" s="271"/>
      <c r="S413" s="271"/>
      <c r="T413" s="271"/>
      <c r="U413" s="271"/>
      <c r="V413" s="271"/>
      <c r="W413" s="271"/>
      <c r="X413" s="271"/>
      <c r="Y413" s="271"/>
      <c r="Z413" s="271"/>
      <c r="AA413" s="271"/>
      <c r="AB413" s="271"/>
      <c r="AC413" s="271"/>
      <c r="AD413" s="271"/>
      <c r="AE413" s="271"/>
      <c r="AF413" s="271"/>
      <c r="AG413" s="271"/>
      <c r="AH413" s="271"/>
      <c r="AI413" s="271"/>
      <c r="AJ413" s="271"/>
      <c r="AK413" s="271"/>
      <c r="AL413" s="271"/>
      <c r="AM413" s="271"/>
      <c r="AN413" s="271"/>
      <c r="AO413" s="271"/>
      <c r="AP413" s="271"/>
      <c r="AQ413" s="271"/>
      <c r="AR413" s="271"/>
      <c r="AS413" s="271"/>
      <c r="AT413" s="271"/>
      <c r="AU413" s="271"/>
      <c r="AV413" s="271"/>
      <c r="AW413" s="271"/>
      <c r="AX413" s="271"/>
      <c r="AY413" s="271"/>
      <c r="AZ413" s="271"/>
      <c r="BA413" s="271"/>
      <c r="BB413" s="271"/>
      <c r="BC413" s="271"/>
      <c r="BD413" s="271"/>
      <c r="BE413" s="271"/>
      <c r="BF413" s="271"/>
      <c r="BG413" s="271"/>
    </row>
    <row r="414" spans="1:59" s="5" customFormat="1" ht="30.75" thickBot="1" x14ac:dyDescent="0.25">
      <c r="A414" s="72"/>
      <c r="B414" s="68"/>
      <c r="C414" s="102" t="s">
        <v>80</v>
      </c>
      <c r="D414" s="201">
        <f t="shared" ref="D414:E414" si="15">-D411</f>
        <v>-3882</v>
      </c>
      <c r="E414" s="201">
        <f t="shared" si="15"/>
        <v>-53257.3</v>
      </c>
      <c r="F414" s="219">
        <f>-F411</f>
        <v>-47589879.399999999</v>
      </c>
      <c r="G414" s="235">
        <f>-G411</f>
        <v>-2268</v>
      </c>
      <c r="H414" s="241">
        <f>-H411</f>
        <v>-2268</v>
      </c>
      <c r="I414" s="258"/>
      <c r="J414" s="258"/>
      <c r="K414" s="271"/>
      <c r="L414" s="271"/>
      <c r="M414" s="271"/>
      <c r="N414" s="271"/>
      <c r="O414" s="271"/>
      <c r="P414" s="271"/>
      <c r="Q414" s="271"/>
      <c r="R414" s="271"/>
      <c r="S414" s="271"/>
      <c r="T414" s="271"/>
      <c r="U414" s="271"/>
      <c r="V414" s="271"/>
      <c r="W414" s="271"/>
      <c r="X414" s="271"/>
      <c r="Y414" s="271"/>
      <c r="Z414" s="271"/>
      <c r="AA414" s="271"/>
      <c r="AB414" s="271"/>
      <c r="AC414" s="271"/>
      <c r="AD414" s="271"/>
      <c r="AE414" s="271"/>
      <c r="AF414" s="271"/>
      <c r="AG414" s="271"/>
      <c r="AH414" s="271"/>
      <c r="AI414" s="271"/>
      <c r="AJ414" s="271"/>
      <c r="AK414" s="271"/>
      <c r="AL414" s="271"/>
      <c r="AM414" s="271"/>
      <c r="AN414" s="271"/>
      <c r="AO414" s="271"/>
      <c r="AP414" s="271"/>
      <c r="AQ414" s="271"/>
      <c r="AR414" s="271"/>
      <c r="AS414" s="271"/>
      <c r="AT414" s="271"/>
      <c r="AU414" s="271"/>
      <c r="AV414" s="271"/>
      <c r="AW414" s="271"/>
      <c r="AX414" s="271"/>
      <c r="AY414" s="271"/>
      <c r="AZ414" s="271"/>
      <c r="BA414" s="271"/>
      <c r="BB414" s="271"/>
      <c r="BC414" s="271"/>
      <c r="BD414" s="271"/>
      <c r="BE414" s="271"/>
      <c r="BF414" s="271"/>
      <c r="BG414" s="271"/>
    </row>
    <row r="415" spans="1:59" s="5" customFormat="1" ht="15.75" thickBot="1" x14ac:dyDescent="0.25">
      <c r="A415" s="42"/>
      <c r="B415" s="42"/>
      <c r="C415" s="104"/>
      <c r="D415" s="110"/>
      <c r="E415" s="110"/>
      <c r="F415" s="196"/>
      <c r="G415" s="77"/>
      <c r="H415" s="77"/>
      <c r="I415" s="258"/>
      <c r="J415" s="258"/>
      <c r="K415" s="271"/>
      <c r="L415" s="271"/>
      <c r="M415" s="271"/>
      <c r="N415" s="271"/>
      <c r="O415" s="271"/>
      <c r="P415" s="271"/>
      <c r="Q415" s="271"/>
      <c r="R415" s="271"/>
      <c r="S415" s="271"/>
      <c r="T415" s="271"/>
      <c r="U415" s="271"/>
      <c r="V415" s="271"/>
      <c r="W415" s="271"/>
      <c r="X415" s="271"/>
      <c r="Y415" s="271"/>
      <c r="Z415" s="271"/>
      <c r="AA415" s="271"/>
      <c r="AB415" s="271"/>
      <c r="AC415" s="271"/>
      <c r="AD415" s="271"/>
      <c r="AE415" s="271"/>
      <c r="AF415" s="271"/>
      <c r="AG415" s="271"/>
      <c r="AH415" s="271"/>
      <c r="AI415" s="271"/>
      <c r="AJ415" s="271"/>
      <c r="AK415" s="271"/>
      <c r="AL415" s="271"/>
      <c r="AM415" s="271"/>
      <c r="AN415" s="271"/>
      <c r="AO415" s="271"/>
      <c r="AP415" s="271"/>
      <c r="AQ415" s="271"/>
      <c r="AR415" s="271"/>
      <c r="AS415" s="271"/>
      <c r="AT415" s="271"/>
      <c r="AU415" s="271"/>
      <c r="AV415" s="271"/>
      <c r="AW415" s="271"/>
      <c r="AX415" s="271"/>
      <c r="AY415" s="271"/>
      <c r="AZ415" s="271"/>
      <c r="BA415" s="271"/>
      <c r="BB415" s="271"/>
      <c r="BC415" s="271"/>
      <c r="BD415" s="271"/>
      <c r="BE415" s="271"/>
      <c r="BF415" s="271"/>
      <c r="BG415" s="271"/>
    </row>
    <row r="416" spans="1:59" s="5" customFormat="1" ht="16.5" thickBot="1" x14ac:dyDescent="0.3">
      <c r="A416" s="17"/>
      <c r="B416" s="30"/>
      <c r="C416" s="69" t="s">
        <v>81</v>
      </c>
      <c r="D416" s="79">
        <f t="shared" ref="D416:E416" si="16">SUM(D413:D414)</f>
        <v>176819.99</v>
      </c>
      <c r="E416" s="79">
        <f t="shared" si="16"/>
        <v>305019.99</v>
      </c>
      <c r="F416" s="202">
        <f>SUM(F413:F414)</f>
        <v>134581798.10999998</v>
      </c>
      <c r="G416" s="234">
        <f>SUM(G413:G414)</f>
        <v>226200</v>
      </c>
      <c r="H416" s="240">
        <f>SUM(H413:H414)</f>
        <v>226200</v>
      </c>
      <c r="I416" s="258"/>
      <c r="J416" s="258"/>
      <c r="K416" s="271"/>
      <c r="L416" s="271"/>
      <c r="M416" s="271"/>
      <c r="N416" s="271"/>
      <c r="O416" s="271"/>
      <c r="P416" s="271"/>
      <c r="Q416" s="271"/>
      <c r="R416" s="271"/>
      <c r="S416" s="271"/>
      <c r="T416" s="271"/>
      <c r="U416" s="271"/>
      <c r="V416" s="271"/>
      <c r="W416" s="271"/>
      <c r="X416" s="271"/>
      <c r="Y416" s="271"/>
      <c r="Z416" s="271"/>
      <c r="AA416" s="271"/>
      <c r="AB416" s="271"/>
      <c r="AC416" s="271"/>
      <c r="AD416" s="271"/>
      <c r="AE416" s="271"/>
      <c r="AF416" s="271"/>
      <c r="AG416" s="271"/>
      <c r="AH416" s="271"/>
      <c r="AI416" s="271"/>
      <c r="AJ416" s="271"/>
      <c r="AK416" s="271"/>
      <c r="AL416" s="271"/>
      <c r="AM416" s="271"/>
      <c r="AN416" s="271"/>
      <c r="AO416" s="271"/>
      <c r="AP416" s="271"/>
      <c r="AQ416" s="271"/>
      <c r="AR416" s="271"/>
      <c r="AS416" s="271"/>
      <c r="AT416" s="271"/>
      <c r="AU416" s="271"/>
      <c r="AV416" s="271"/>
      <c r="AW416" s="271"/>
      <c r="AX416" s="271"/>
      <c r="AY416" s="271"/>
      <c r="AZ416" s="271"/>
      <c r="BA416" s="271"/>
      <c r="BB416" s="271"/>
      <c r="BC416" s="271"/>
      <c r="BD416" s="271"/>
      <c r="BE416" s="271"/>
      <c r="BF416" s="271"/>
      <c r="BG416" s="271"/>
    </row>
    <row r="417" spans="1:59" s="5" customFormat="1" ht="16.5" thickBot="1" x14ac:dyDescent="0.3">
      <c r="A417" s="13"/>
      <c r="B417" s="41"/>
      <c r="C417" s="41"/>
      <c r="D417" s="119"/>
      <c r="E417" s="119"/>
      <c r="F417" s="21"/>
      <c r="G417" s="77"/>
      <c r="H417" s="77"/>
      <c r="I417" s="258"/>
      <c r="J417" s="258"/>
      <c r="K417" s="271"/>
      <c r="L417" s="271"/>
      <c r="M417" s="271"/>
      <c r="N417" s="271"/>
      <c r="O417" s="271"/>
      <c r="P417" s="271"/>
      <c r="Q417" s="271"/>
      <c r="R417" s="271"/>
      <c r="S417" s="271"/>
      <c r="T417" s="271"/>
      <c r="U417" s="271"/>
      <c r="V417" s="271"/>
      <c r="W417" s="271"/>
      <c r="X417" s="271"/>
      <c r="Y417" s="271"/>
      <c r="Z417" s="271"/>
      <c r="AA417" s="271"/>
      <c r="AB417" s="271"/>
      <c r="AC417" s="271"/>
      <c r="AD417" s="271"/>
      <c r="AE417" s="271"/>
      <c r="AF417" s="271"/>
      <c r="AG417" s="271"/>
      <c r="AH417" s="271"/>
      <c r="AI417" s="271"/>
      <c r="AJ417" s="271"/>
      <c r="AK417" s="271"/>
      <c r="AL417" s="271"/>
      <c r="AM417" s="271"/>
      <c r="AN417" s="271"/>
      <c r="AO417" s="271"/>
      <c r="AP417" s="271"/>
      <c r="AQ417" s="271"/>
      <c r="AR417" s="271"/>
      <c r="AS417" s="271"/>
      <c r="AT417" s="271"/>
      <c r="AU417" s="271"/>
      <c r="AV417" s="271"/>
      <c r="AW417" s="271"/>
      <c r="AX417" s="271"/>
      <c r="AY417" s="271"/>
      <c r="AZ417" s="271"/>
      <c r="BA417" s="271"/>
      <c r="BB417" s="271"/>
      <c r="BC417" s="271"/>
      <c r="BD417" s="271"/>
      <c r="BE417" s="271"/>
      <c r="BF417" s="271"/>
      <c r="BG417" s="271"/>
    </row>
    <row r="418" spans="1:59" s="5" customFormat="1" ht="16.5" thickBot="1" x14ac:dyDescent="0.3">
      <c r="A418" s="17"/>
      <c r="B418" s="30"/>
      <c r="C418" s="31" t="s">
        <v>119</v>
      </c>
      <c r="D418" s="79">
        <f>SUM(D408:D408)</f>
        <v>0</v>
      </c>
      <c r="E418" s="79">
        <f>SUM(E407:E410)</f>
        <v>288.8</v>
      </c>
      <c r="F418" s="202">
        <f>SUM(F407:F410)</f>
        <v>288930.40000000002</v>
      </c>
      <c r="G418" s="234">
        <v>0</v>
      </c>
      <c r="H418" s="240">
        <v>0</v>
      </c>
      <c r="I418" s="258"/>
      <c r="J418" s="258"/>
      <c r="K418" s="271"/>
      <c r="L418" s="271"/>
      <c r="M418" s="271"/>
      <c r="N418" s="271"/>
      <c r="O418" s="271"/>
      <c r="P418" s="271"/>
      <c r="Q418" s="271"/>
      <c r="R418" s="271"/>
      <c r="S418" s="271"/>
      <c r="T418" s="271"/>
      <c r="U418" s="271"/>
      <c r="V418" s="271"/>
      <c r="W418" s="271"/>
      <c r="X418" s="271"/>
      <c r="Y418" s="271"/>
      <c r="Z418" s="271"/>
      <c r="AA418" s="271"/>
      <c r="AB418" s="271"/>
      <c r="AC418" s="271"/>
      <c r="AD418" s="271"/>
      <c r="AE418" s="271"/>
      <c r="AF418" s="271"/>
      <c r="AG418" s="271"/>
      <c r="AH418" s="271"/>
      <c r="AI418" s="271"/>
      <c r="AJ418" s="271"/>
      <c r="AK418" s="271"/>
      <c r="AL418" s="271"/>
      <c r="AM418" s="271"/>
      <c r="AN418" s="271"/>
      <c r="AO418" s="271"/>
      <c r="AP418" s="271"/>
      <c r="AQ418" s="271"/>
      <c r="AR418" s="271"/>
      <c r="AS418" s="271"/>
      <c r="AT418" s="271"/>
      <c r="AU418" s="271"/>
      <c r="AV418" s="271"/>
      <c r="AW418" s="271"/>
      <c r="AX418" s="271"/>
      <c r="AY418" s="271"/>
      <c r="AZ418" s="271"/>
      <c r="BA418" s="271"/>
      <c r="BB418" s="271"/>
      <c r="BC418" s="271"/>
      <c r="BD418" s="271"/>
      <c r="BE418" s="271"/>
      <c r="BF418" s="271"/>
      <c r="BG418" s="271"/>
    </row>
    <row r="419" spans="1:59" s="5" customFormat="1" ht="16.5" thickBot="1" x14ac:dyDescent="0.3">
      <c r="A419" s="13"/>
      <c r="B419" s="41"/>
      <c r="C419" s="41"/>
      <c r="D419" s="118"/>
      <c r="E419" s="118"/>
      <c r="F419" s="21"/>
      <c r="G419" s="77"/>
      <c r="H419" s="77"/>
      <c r="I419" s="258"/>
      <c r="J419" s="258"/>
      <c r="K419" s="271"/>
      <c r="L419" s="271"/>
      <c r="M419" s="271"/>
      <c r="N419" s="271"/>
      <c r="O419" s="271"/>
      <c r="P419" s="271"/>
      <c r="Q419" s="271"/>
      <c r="R419" s="271"/>
      <c r="S419" s="271"/>
      <c r="T419" s="271"/>
      <c r="U419" s="271"/>
      <c r="V419" s="271"/>
      <c r="W419" s="271"/>
      <c r="X419" s="271"/>
      <c r="Y419" s="271"/>
      <c r="Z419" s="271"/>
      <c r="AA419" s="271"/>
      <c r="AB419" s="271"/>
      <c r="AC419" s="271"/>
      <c r="AD419" s="271"/>
      <c r="AE419" s="271"/>
      <c r="AF419" s="271"/>
      <c r="AG419" s="271"/>
      <c r="AH419" s="271"/>
      <c r="AI419" s="271"/>
      <c r="AJ419" s="271"/>
      <c r="AK419" s="271"/>
      <c r="AL419" s="271"/>
      <c r="AM419" s="271"/>
      <c r="AN419" s="271"/>
      <c r="AO419" s="271"/>
      <c r="AP419" s="271"/>
      <c r="AQ419" s="271"/>
      <c r="AR419" s="271"/>
      <c r="AS419" s="271"/>
      <c r="AT419" s="271"/>
      <c r="AU419" s="271"/>
      <c r="AV419" s="271"/>
      <c r="AW419" s="271"/>
      <c r="AX419" s="271"/>
      <c r="AY419" s="271"/>
      <c r="AZ419" s="271"/>
      <c r="BA419" s="271"/>
      <c r="BB419" s="271"/>
      <c r="BC419" s="271"/>
      <c r="BD419" s="271"/>
      <c r="BE419" s="271"/>
      <c r="BF419" s="271"/>
      <c r="BG419" s="271"/>
    </row>
    <row r="420" spans="1:59" s="5" customFormat="1" ht="16.5" thickBot="1" x14ac:dyDescent="0.3">
      <c r="A420" s="32"/>
      <c r="B420" s="33"/>
      <c r="C420" s="70" t="s">
        <v>84</v>
      </c>
      <c r="D420" s="83">
        <f>SUM(D416:D418)</f>
        <v>176819.99</v>
      </c>
      <c r="E420" s="83">
        <f>SUM(E416:E418)</f>
        <v>305308.78999999998</v>
      </c>
      <c r="F420" s="168">
        <f>SUM(F416:F418)</f>
        <v>134870728.50999999</v>
      </c>
      <c r="G420" s="236">
        <f>SUM(G416:G418)</f>
        <v>226200</v>
      </c>
      <c r="H420" s="242">
        <f>SUM(H416:H418)</f>
        <v>226200</v>
      </c>
      <c r="I420" s="258"/>
      <c r="J420" s="258"/>
      <c r="K420" s="271"/>
      <c r="L420" s="271"/>
      <c r="M420" s="271"/>
      <c r="N420" s="271"/>
      <c r="O420" s="271"/>
      <c r="P420" s="271"/>
      <c r="Q420" s="271"/>
      <c r="R420" s="271"/>
      <c r="S420" s="271"/>
      <c r="T420" s="271"/>
      <c r="U420" s="271"/>
      <c r="V420" s="271"/>
      <c r="W420" s="271"/>
      <c r="X420" s="271"/>
      <c r="Y420" s="271"/>
      <c r="Z420" s="271"/>
      <c r="AA420" s="271"/>
      <c r="AB420" s="271"/>
      <c r="AC420" s="271"/>
      <c r="AD420" s="271"/>
      <c r="AE420" s="271"/>
      <c r="AF420" s="271"/>
      <c r="AG420" s="271"/>
      <c r="AH420" s="271"/>
      <c r="AI420" s="271"/>
      <c r="AJ420" s="271"/>
      <c r="AK420" s="271"/>
      <c r="AL420" s="271"/>
      <c r="AM420" s="271"/>
      <c r="AN420" s="271"/>
      <c r="AO420" s="271"/>
      <c r="AP420" s="271"/>
      <c r="AQ420" s="271"/>
      <c r="AR420" s="271"/>
      <c r="AS420" s="271"/>
      <c r="AT420" s="271"/>
      <c r="AU420" s="271"/>
      <c r="AV420" s="271"/>
      <c r="AW420" s="271"/>
      <c r="AX420" s="271"/>
      <c r="AY420" s="271"/>
      <c r="AZ420" s="271"/>
      <c r="BA420" s="271"/>
      <c r="BB420" s="271"/>
      <c r="BC420" s="271"/>
      <c r="BD420" s="271"/>
      <c r="BE420" s="271"/>
      <c r="BF420" s="271"/>
      <c r="BG420" s="271"/>
    </row>
    <row r="421" spans="1:59" s="5" customFormat="1" ht="15.75" x14ac:dyDescent="0.25">
      <c r="A421" s="272"/>
      <c r="B421" s="272"/>
      <c r="C421" s="273"/>
      <c r="D421" s="274"/>
      <c r="E421" s="274"/>
      <c r="F421" s="275"/>
      <c r="G421" s="274"/>
      <c r="H421" s="274"/>
      <c r="I421" s="258"/>
      <c r="J421" s="258"/>
      <c r="K421" s="271"/>
      <c r="L421" s="271"/>
      <c r="M421" s="271"/>
      <c r="N421" s="271"/>
      <c r="O421" s="271"/>
      <c r="P421" s="271"/>
      <c r="Q421" s="271"/>
      <c r="R421" s="271"/>
      <c r="S421" s="271"/>
      <c r="T421" s="271"/>
      <c r="U421" s="271"/>
      <c r="V421" s="271"/>
      <c r="W421" s="271"/>
      <c r="X421" s="271"/>
      <c r="Y421" s="271"/>
      <c r="Z421" s="271"/>
      <c r="AA421" s="271"/>
      <c r="AB421" s="271"/>
      <c r="AC421" s="271"/>
      <c r="AD421" s="271"/>
      <c r="AE421" s="271"/>
      <c r="AF421" s="271"/>
      <c r="AG421" s="271"/>
      <c r="AH421" s="271"/>
      <c r="AI421" s="271"/>
      <c r="AJ421" s="271"/>
      <c r="AK421" s="271"/>
      <c r="AL421" s="271"/>
      <c r="AM421" s="271"/>
      <c r="AN421" s="271"/>
      <c r="AO421" s="271"/>
      <c r="AP421" s="271"/>
      <c r="AQ421" s="271"/>
      <c r="AR421" s="271"/>
      <c r="AS421" s="271"/>
      <c r="AT421" s="271"/>
      <c r="AU421" s="271"/>
      <c r="AV421" s="271"/>
      <c r="AW421" s="271"/>
      <c r="AX421" s="271"/>
      <c r="AY421" s="271"/>
      <c r="AZ421" s="271"/>
      <c r="BA421" s="271"/>
      <c r="BB421" s="271"/>
      <c r="BC421" s="271"/>
      <c r="BD421" s="271"/>
      <c r="BE421" s="271"/>
      <c r="BF421" s="271"/>
      <c r="BG421" s="271"/>
    </row>
    <row r="422" spans="1:59" s="5" customFormat="1" ht="15.75" x14ac:dyDescent="0.25">
      <c r="A422" s="276"/>
      <c r="B422" s="276"/>
      <c r="C422" s="277"/>
      <c r="D422" s="263"/>
      <c r="E422" s="263"/>
      <c r="F422" s="278"/>
      <c r="G422" s="77"/>
      <c r="H422" s="196"/>
      <c r="I422" s="258"/>
      <c r="J422" s="258"/>
      <c r="K422" s="271"/>
      <c r="L422" s="271"/>
      <c r="M422" s="271"/>
      <c r="N422" s="271"/>
      <c r="O422" s="271"/>
      <c r="P422" s="271"/>
      <c r="Q422" s="271"/>
      <c r="R422" s="271"/>
      <c r="S422" s="271"/>
      <c r="T422" s="271"/>
      <c r="U422" s="271"/>
      <c r="V422" s="271"/>
      <c r="W422" s="271"/>
      <c r="X422" s="271"/>
      <c r="Y422" s="271"/>
      <c r="Z422" s="271"/>
      <c r="AA422" s="271"/>
      <c r="AB422" s="271"/>
      <c r="AC422" s="271"/>
      <c r="AD422" s="271"/>
      <c r="AE422" s="271"/>
      <c r="AF422" s="271"/>
      <c r="AG422" s="271"/>
      <c r="AH422" s="271"/>
      <c r="AI422" s="271"/>
      <c r="AJ422" s="271"/>
      <c r="AK422" s="271"/>
      <c r="AL422" s="271"/>
      <c r="AM422" s="271"/>
      <c r="AN422" s="271"/>
      <c r="AO422" s="271"/>
      <c r="AP422" s="271"/>
      <c r="AQ422" s="271"/>
      <c r="AR422" s="271"/>
      <c r="AS422" s="271"/>
      <c r="AT422" s="271"/>
      <c r="AU422" s="271"/>
      <c r="AV422" s="271"/>
      <c r="AW422" s="271"/>
      <c r="AX422" s="271"/>
      <c r="AY422" s="271"/>
      <c r="AZ422" s="271"/>
      <c r="BA422" s="271"/>
      <c r="BB422" s="271"/>
      <c r="BC422" s="271"/>
      <c r="BD422" s="271"/>
      <c r="BE422" s="271"/>
      <c r="BF422" s="271"/>
      <c r="BG422" s="271"/>
    </row>
    <row r="423" spans="1:59" ht="16.5" thickBot="1" x14ac:dyDescent="0.3">
      <c r="B423" s="35"/>
      <c r="C423" s="7" t="s">
        <v>92</v>
      </c>
      <c r="D423" s="91"/>
      <c r="E423" s="91"/>
      <c r="G423" s="77"/>
      <c r="H423" s="196"/>
    </row>
    <row r="424" spans="1:59" ht="32.25" thickBot="1" x14ac:dyDescent="0.3">
      <c r="B424" s="35"/>
      <c r="C424" s="36" t="s">
        <v>87</v>
      </c>
      <c r="D424" s="83">
        <f>'Příjmy 2025 listopad  Rozp'!D86</f>
        <v>151521</v>
      </c>
      <c r="E424" s="83">
        <f>'Příjmy 2025 listopad  Rozp'!E86</f>
        <v>284019.09999999998</v>
      </c>
      <c r="F424" s="83">
        <f>'Příjmy 2025 listopad  Rozp'!F86</f>
        <v>232388951.46999997</v>
      </c>
      <c r="G424" s="236">
        <f>'Příjmy 2025 listopad  Rozp'!G86</f>
        <v>166264</v>
      </c>
      <c r="H424" s="156">
        <f>G424</f>
        <v>166264</v>
      </c>
    </row>
    <row r="425" spans="1:59" ht="15.75" x14ac:dyDescent="0.25">
      <c r="B425" s="35"/>
      <c r="D425" s="110"/>
      <c r="E425" s="110"/>
      <c r="F425" s="37"/>
      <c r="G425" s="77"/>
      <c r="H425" s="196"/>
    </row>
    <row r="426" spans="1:59" ht="15.75" x14ac:dyDescent="0.25">
      <c r="B426" s="35"/>
      <c r="C426" s="34" t="s">
        <v>83</v>
      </c>
      <c r="D426" s="77">
        <f t="shared" ref="D426:F426" si="17">D428-D427</f>
        <v>57991.989999999991</v>
      </c>
      <c r="E426" s="77">
        <f t="shared" si="17"/>
        <v>78449.289999999979</v>
      </c>
      <c r="F426" s="11">
        <f t="shared" si="17"/>
        <v>46595941.170000002</v>
      </c>
      <c r="G426" s="77">
        <f>G428-G427</f>
        <v>76434</v>
      </c>
      <c r="H426" s="77">
        <f>H428-H427</f>
        <v>76434</v>
      </c>
    </row>
    <row r="427" spans="1:59" ht="16.5" thickBot="1" x14ac:dyDescent="0.3">
      <c r="B427" s="35"/>
      <c r="C427" s="64" t="s">
        <v>34</v>
      </c>
      <c r="D427" s="92">
        <f>D34+D35+D38+D39+D40+D42+D43+D44+D45+D46+D47+D48+D54+D67+D86+D87+D88+D89+D90+D112+D113+D114+D119+D121+D122+D123+D145+D173+D188+D189+D217+D230+D234+D246+D247+D282+D316+D317+D339+D388+D389+D410</f>
        <v>118828</v>
      </c>
      <c r="E427" s="92">
        <f>E34+E35+E38+E39+E40+E42+E43+E44+E45+E46+E47+E48+E54+E67+E86+E87+E88+E89+E90+E112+E113+E114+E119+E121+E122+E123+E145+E173+E188+E189+E217+E230+E234+E246+E247+E282+E316+E317+E339+E388+E389+E410</f>
        <v>226859.5</v>
      </c>
      <c r="F427" s="211">
        <f>F34+F35+F38+F39+F40+F42+F43+F44+F45+F46+F47+F48+F54+F67+F86+F87+F88+F89+F90+F112+F113+F114+F119+F121+F122+F123+F145+F173+F188+F189+F217+F230+F234+F246+F247+F282+F316+F317+F339+F388+F389+F410</f>
        <v>88274787.339999989</v>
      </c>
      <c r="G427" s="92">
        <f>G34+G35+G38+G39+G40+G42+G43+G45+G46+G50+G51+G52+G54+G61+G67+G119+G120+G121+G122+G123+G125+G145+G174+G188+G189+G216+G217+G234+G317+G388</f>
        <v>149766</v>
      </c>
      <c r="H427" s="92">
        <f>G427</f>
        <v>149766</v>
      </c>
      <c r="I427" s="257"/>
    </row>
    <row r="428" spans="1:59" ht="16.5" thickBot="1" x14ac:dyDescent="0.3">
      <c r="B428" s="35"/>
      <c r="C428" s="36" t="s">
        <v>225</v>
      </c>
      <c r="D428" s="83">
        <f t="shared" ref="D428:F428" si="18">D420</f>
        <v>176819.99</v>
      </c>
      <c r="E428" s="83">
        <f t="shared" si="18"/>
        <v>305308.78999999998</v>
      </c>
      <c r="F428" s="168">
        <f t="shared" si="18"/>
        <v>134870728.50999999</v>
      </c>
      <c r="G428" s="236">
        <f>G420</f>
        <v>226200</v>
      </c>
      <c r="H428" s="156">
        <f>H420</f>
        <v>226200</v>
      </c>
    </row>
    <row r="429" spans="1:59" ht="16.5" thickBot="1" x14ac:dyDescent="0.3">
      <c r="B429" s="35"/>
      <c r="C429" s="38"/>
      <c r="D429" s="120"/>
      <c r="E429" s="120"/>
      <c r="H429" s="196"/>
    </row>
    <row r="430" spans="1:59" ht="16.5" thickBot="1" x14ac:dyDescent="0.3">
      <c r="B430" s="35"/>
      <c r="C430" s="76" t="s">
        <v>93</v>
      </c>
      <c r="D430" s="79">
        <f>D424-D428</f>
        <v>-25298.989999999991</v>
      </c>
      <c r="E430" s="79">
        <f>E424-E428</f>
        <v>-21289.690000000002</v>
      </c>
      <c r="F430" s="202">
        <f>F424-F428</f>
        <v>97518222.959999979</v>
      </c>
      <c r="G430" s="218">
        <f>G424-G428</f>
        <v>-59936</v>
      </c>
      <c r="H430" s="218">
        <f>H424-H428</f>
        <v>-59936</v>
      </c>
      <c r="I430" s="257"/>
    </row>
    <row r="431" spans="1:59" ht="16.5" thickBot="1" x14ac:dyDescent="0.3">
      <c r="B431" s="35"/>
      <c r="C431" s="74"/>
      <c r="D431" s="84"/>
      <c r="E431" s="84"/>
      <c r="F431" s="75"/>
      <c r="H431" s="196"/>
      <c r="I431" s="255"/>
    </row>
    <row r="432" spans="1:59" ht="32.25" thickBot="1" x14ac:dyDescent="0.3">
      <c r="B432" s="35"/>
      <c r="C432" s="36" t="s">
        <v>409</v>
      </c>
      <c r="D432" s="83">
        <f t="shared" ref="D432:E432" si="19">-(D430)</f>
        <v>25298.989999999991</v>
      </c>
      <c r="E432" s="83">
        <f t="shared" si="19"/>
        <v>21289.690000000002</v>
      </c>
      <c r="F432" s="168">
        <f>-(F430)</f>
        <v>-97518222.959999979</v>
      </c>
      <c r="G432" s="217">
        <f>-(G424-G428)</f>
        <v>59936</v>
      </c>
      <c r="H432" s="156">
        <f>-(H424-H428)</f>
        <v>59936</v>
      </c>
      <c r="I432" s="255"/>
    </row>
    <row r="433" spans="3:9" x14ac:dyDescent="0.2">
      <c r="C433" s="39"/>
      <c r="D433" s="85"/>
      <c r="E433" s="85"/>
      <c r="F433" s="40"/>
      <c r="I433" s="255"/>
    </row>
    <row r="434" spans="3:9" x14ac:dyDescent="0.2">
      <c r="I434" s="255"/>
    </row>
    <row r="435" spans="3:9" x14ac:dyDescent="0.2">
      <c r="I435" s="255"/>
    </row>
    <row r="436" spans="3:9" x14ac:dyDescent="0.2">
      <c r="I436" s="255"/>
    </row>
    <row r="437" spans="3:9" x14ac:dyDescent="0.2">
      <c r="I437" s="255"/>
    </row>
    <row r="438" spans="3:9" x14ac:dyDescent="0.2">
      <c r="I438" s="255"/>
    </row>
    <row r="439" spans="3:9" x14ac:dyDescent="0.2">
      <c r="I439" s="255"/>
    </row>
    <row r="440" spans="3:9" x14ac:dyDescent="0.2">
      <c r="I440" s="257"/>
    </row>
  </sheetData>
  <mergeCells count="3">
    <mergeCell ref="A1:H1"/>
    <mergeCell ref="A2:H2"/>
    <mergeCell ref="A3:H3"/>
  </mergeCells>
  <pageMargins left="0.70866141732283472" right="0.70866141732283472" top="0.78740157480314965" bottom="0.78740157480314965" header="0.31496062992125984" footer="0.31496062992125984"/>
  <pageSetup paperSize="9" scale="75" fitToWidth="0" fitToHeight="0" orientation="landscape" r:id="rId1"/>
  <headerFooter>
    <oddFooter>Stránka 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Příjmy 2025 listopad  Rozp</vt:lpstr>
      <vt:lpstr>Výdaje 2025 listopad  Rozp</vt:lpstr>
      <vt:lpstr>'Příjmy 2025 listopad  Rozp'!Názvy_tisku</vt:lpstr>
      <vt:lpstr>'Výdaje 2025 listopad  Rozp'!Názvy_tisku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Voříšková Jitka</dc:creator>
  <cp:lastModifiedBy>Vomáčková Blanka</cp:lastModifiedBy>
  <cp:lastPrinted>2025-12-15T16:12:01Z</cp:lastPrinted>
  <dcterms:created xsi:type="dcterms:W3CDTF">2001-03-03T09:02:45Z</dcterms:created>
  <dcterms:modified xsi:type="dcterms:W3CDTF">2025-12-15T16:13:01Z</dcterms:modified>
</cp:coreProperties>
</file>